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autoCompressPictures="0"/>
  <workbookProtection workbookPassword="CA09" lockStructure="1"/>
  <bookViews>
    <workbookView xWindow="480" yWindow="1460" windowWidth="15600" windowHeight="11760" activeTab="1"/>
  </bookViews>
  <sheets>
    <sheet name="Instruções" sheetId="9" r:id="rId1"/>
    <sheet name="Dados e Análise" sheetId="8" r:id="rId2"/>
  </sheets>
  <definedNames>
    <definedName name="_xlnm._FilterDatabase" localSheetId="1" hidden="1">'Dados e Análise'!$B$20:$O$24</definedName>
    <definedName name="Circunscrições" localSheetId="1">#REF!</definedName>
    <definedName name="Circunscrições" localSheetId="0">#REF!</definedName>
    <definedName name="Circunscrições">#REF!</definedName>
    <definedName name="Período" localSheetId="1">#REF!</definedName>
    <definedName name="Período" localSheetId="0">#REF!</definedName>
    <definedName name="Período">#REF!</definedName>
    <definedName name="_xlnm.Print_Area" localSheetId="1">'Dados e Análise'!$A$1:$R$133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2" i="8" l="1"/>
  <c r="H60" i="8"/>
  <c r="D40" i="8"/>
  <c r="D41" i="8"/>
  <c r="D42" i="8"/>
  <c r="D43" i="8"/>
  <c r="E40" i="8"/>
  <c r="E41" i="8"/>
  <c r="E42" i="8"/>
  <c r="E43" i="8"/>
  <c r="F40" i="8"/>
  <c r="F41" i="8"/>
  <c r="F42" i="8"/>
  <c r="F43" i="8"/>
  <c r="G40" i="8"/>
  <c r="G41" i="8"/>
  <c r="G42" i="8"/>
  <c r="G43" i="8"/>
  <c r="H40" i="8"/>
  <c r="H41" i="8"/>
  <c r="H42" i="8"/>
  <c r="H43" i="8"/>
  <c r="I40" i="8"/>
  <c r="I41" i="8"/>
  <c r="I42" i="8"/>
  <c r="I43" i="8"/>
  <c r="J40" i="8"/>
  <c r="J41" i="8"/>
  <c r="J42" i="8"/>
  <c r="J43" i="8"/>
  <c r="K40" i="8"/>
  <c r="K41" i="8"/>
  <c r="K42" i="8"/>
  <c r="K43" i="8"/>
  <c r="L40" i="8"/>
  <c r="L41" i="8"/>
  <c r="L42" i="8"/>
  <c r="L43" i="8"/>
  <c r="M40" i="8"/>
  <c r="M41" i="8"/>
  <c r="M42" i="8"/>
  <c r="M43" i="8"/>
  <c r="N40" i="8"/>
  <c r="N41" i="8"/>
  <c r="N42" i="8"/>
  <c r="N43" i="8"/>
  <c r="O40" i="8"/>
  <c r="O41" i="8"/>
  <c r="O42" i="8"/>
  <c r="O43" i="8"/>
  <c r="D25" i="8"/>
  <c r="H20" i="8"/>
  <c r="I20" i="8"/>
  <c r="G20" i="8"/>
  <c r="E20" i="8"/>
  <c r="F20" i="8"/>
  <c r="D20" i="8"/>
  <c r="D48" i="8"/>
  <c r="E48" i="8"/>
  <c r="F48" i="8"/>
  <c r="G48" i="8"/>
  <c r="H48" i="8"/>
  <c r="I48" i="8"/>
  <c r="J48" i="8"/>
  <c r="K48" i="8"/>
  <c r="L48" i="8"/>
  <c r="M48" i="8"/>
  <c r="N48" i="8"/>
  <c r="O48" i="8"/>
  <c r="D47" i="8"/>
  <c r="E47" i="8"/>
  <c r="F47" i="8"/>
  <c r="G47" i="8"/>
  <c r="H47" i="8"/>
  <c r="I47" i="8"/>
  <c r="J47" i="8"/>
  <c r="K47" i="8"/>
  <c r="L47" i="8"/>
  <c r="M47" i="8"/>
  <c r="N47" i="8"/>
  <c r="O47" i="8"/>
  <c r="D46" i="8"/>
  <c r="E46" i="8"/>
  <c r="F46" i="8"/>
  <c r="G46" i="8"/>
  <c r="H46" i="8"/>
  <c r="I46" i="8"/>
  <c r="J46" i="8"/>
  <c r="K46" i="8"/>
  <c r="L46" i="8"/>
  <c r="M46" i="8"/>
  <c r="N46" i="8"/>
  <c r="O46" i="8"/>
  <c r="C40" i="8"/>
  <c r="C41" i="8"/>
  <c r="C42" i="8"/>
  <c r="D84" i="8"/>
  <c r="E87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75" i="8"/>
  <c r="C74" i="8"/>
  <c r="C73" i="8"/>
  <c r="C71" i="8"/>
  <c r="C70" i="8"/>
  <c r="C69" i="8"/>
  <c r="O67" i="8"/>
  <c r="N67" i="8"/>
  <c r="M67" i="8"/>
  <c r="L67" i="8"/>
  <c r="K67" i="8"/>
  <c r="J67" i="8"/>
  <c r="I67" i="8"/>
  <c r="H67" i="8"/>
  <c r="G67" i="8"/>
  <c r="F67" i="8"/>
  <c r="E67" i="8"/>
  <c r="D67" i="8"/>
  <c r="D52" i="8"/>
  <c r="E52" i="8"/>
  <c r="F52" i="8"/>
  <c r="G52" i="8"/>
  <c r="H52" i="8"/>
  <c r="I52" i="8"/>
  <c r="J52" i="8"/>
  <c r="K52" i="8"/>
  <c r="L52" i="8"/>
  <c r="M52" i="8"/>
  <c r="N52" i="8"/>
  <c r="O52" i="8"/>
  <c r="C52" i="8"/>
  <c r="D51" i="8"/>
  <c r="E51" i="8"/>
  <c r="F51" i="8"/>
  <c r="G51" i="8"/>
  <c r="H51" i="8"/>
  <c r="I51" i="8"/>
  <c r="J51" i="8"/>
  <c r="K51" i="8"/>
  <c r="L51" i="8"/>
  <c r="M51" i="8"/>
  <c r="N51" i="8"/>
  <c r="O51" i="8"/>
  <c r="C51" i="8"/>
  <c r="D50" i="8"/>
  <c r="E50" i="8"/>
  <c r="C50" i="8"/>
  <c r="C48" i="8"/>
  <c r="C47" i="8"/>
  <c r="C46" i="8"/>
  <c r="O38" i="8"/>
  <c r="N38" i="8"/>
  <c r="M38" i="8"/>
  <c r="L38" i="8"/>
  <c r="K38" i="8"/>
  <c r="J38" i="8"/>
  <c r="I38" i="8"/>
  <c r="H38" i="8"/>
  <c r="G38" i="8"/>
  <c r="F38" i="8"/>
  <c r="E38" i="8"/>
  <c r="D38" i="8"/>
  <c r="O35" i="8"/>
  <c r="N35" i="8"/>
  <c r="M35" i="8"/>
  <c r="L35" i="8"/>
  <c r="K35" i="8"/>
  <c r="J35" i="8"/>
  <c r="I35" i="8"/>
  <c r="H35" i="8"/>
  <c r="G35" i="8"/>
  <c r="F35" i="8"/>
  <c r="E35" i="8"/>
  <c r="D35" i="8"/>
  <c r="E75" i="8"/>
  <c r="P93" i="8"/>
  <c r="Q85" i="8"/>
  <c r="G71" i="8"/>
  <c r="O71" i="8"/>
  <c r="D74" i="8"/>
  <c r="D69" i="8"/>
  <c r="D73" i="8"/>
  <c r="D70" i="8"/>
  <c r="D71" i="8"/>
  <c r="D75" i="8"/>
  <c r="F69" i="8"/>
  <c r="H71" i="8"/>
  <c r="K71" i="8"/>
  <c r="H70" i="8"/>
  <c r="L70" i="8"/>
  <c r="L71" i="8"/>
  <c r="Q92" i="8"/>
  <c r="Q84" i="8"/>
  <c r="P92" i="8"/>
  <c r="P84" i="8"/>
  <c r="I71" i="8"/>
  <c r="M71" i="8"/>
  <c r="I70" i="8"/>
  <c r="E74" i="8"/>
  <c r="Q93" i="8"/>
  <c r="F71" i="8"/>
  <c r="F70" i="8"/>
  <c r="J71" i="8"/>
  <c r="J70" i="8"/>
  <c r="N71" i="8"/>
  <c r="N70" i="8"/>
  <c r="G69" i="8"/>
  <c r="D53" i="8"/>
  <c r="P85" i="8"/>
  <c r="E73" i="8"/>
  <c r="E71" i="8"/>
  <c r="G70" i="8"/>
  <c r="K70" i="8"/>
  <c r="O70" i="8"/>
  <c r="E53" i="8"/>
  <c r="F50" i="8"/>
  <c r="E69" i="8"/>
  <c r="E70" i="8"/>
  <c r="M70" i="8"/>
  <c r="F72" i="8"/>
  <c r="F92" i="8"/>
  <c r="D93" i="8"/>
  <c r="D76" i="8"/>
  <c r="G50" i="8"/>
  <c r="F53" i="8"/>
  <c r="E93" i="8"/>
  <c r="E76" i="8"/>
  <c r="E84" i="8"/>
  <c r="E92" i="8"/>
  <c r="E72" i="8"/>
  <c r="G72" i="8"/>
  <c r="G92" i="8"/>
  <c r="D92" i="8"/>
  <c r="D72" i="8"/>
  <c r="E95" i="8"/>
  <c r="E94" i="8"/>
  <c r="F84" i="8"/>
  <c r="G53" i="8"/>
  <c r="H50" i="8"/>
  <c r="F94" i="8"/>
  <c r="F95" i="8"/>
  <c r="E97" i="8"/>
  <c r="E96" i="8"/>
  <c r="F96" i="8"/>
  <c r="F97" i="8"/>
  <c r="H53" i="8"/>
  <c r="I50" i="8"/>
  <c r="G84" i="8"/>
  <c r="H69" i="8"/>
  <c r="H92" i="8"/>
  <c r="H72" i="8"/>
  <c r="I53" i="8"/>
  <c r="J50" i="8"/>
  <c r="H84" i="8"/>
  <c r="I69" i="8"/>
  <c r="I92" i="8"/>
  <c r="I72" i="8"/>
  <c r="K50" i="8"/>
  <c r="J53" i="8"/>
  <c r="I84" i="8"/>
  <c r="J69" i="8"/>
  <c r="J92" i="8"/>
  <c r="J72" i="8"/>
  <c r="J84" i="8"/>
  <c r="K53" i="8"/>
  <c r="L50" i="8"/>
  <c r="K69" i="8"/>
  <c r="L53" i="8"/>
  <c r="M50" i="8"/>
  <c r="K84" i="8"/>
  <c r="K92" i="8"/>
  <c r="K72" i="8"/>
  <c r="L69" i="8"/>
  <c r="L84" i="8"/>
  <c r="M69" i="8"/>
  <c r="M53" i="8"/>
  <c r="N50" i="8"/>
  <c r="M92" i="8"/>
  <c r="M72" i="8"/>
  <c r="L92" i="8"/>
  <c r="L72" i="8"/>
  <c r="O50" i="8"/>
  <c r="O53" i="8"/>
  <c r="N53" i="8"/>
  <c r="M84" i="8"/>
  <c r="N69" i="8"/>
  <c r="C24" i="8"/>
  <c r="N92" i="8"/>
  <c r="N72" i="8"/>
  <c r="N84" i="8"/>
  <c r="O69" i="8"/>
  <c r="O72" i="8"/>
  <c r="O92" i="8"/>
  <c r="O84" i="8"/>
  <c r="C22" i="8"/>
  <c r="G74" i="8"/>
  <c r="F74" i="8"/>
  <c r="I74" i="8"/>
  <c r="F85" i="8"/>
  <c r="K73" i="8"/>
  <c r="K75" i="8"/>
  <c r="J75" i="8"/>
  <c r="F49" i="8"/>
  <c r="M49" i="8"/>
  <c r="M85" i="8"/>
  <c r="J73" i="8"/>
  <c r="H75" i="8"/>
  <c r="E49" i="8"/>
  <c r="G49" i="8"/>
  <c r="D85" i="8"/>
  <c r="E86" i="8"/>
  <c r="E89" i="8"/>
  <c r="E101" i="8"/>
  <c r="E88" i="8"/>
  <c r="M74" i="8"/>
  <c r="O75" i="8"/>
  <c r="K49" i="8"/>
  <c r="I49" i="8"/>
  <c r="N49" i="8"/>
  <c r="L49" i="8"/>
  <c r="K85" i="8"/>
  <c r="M75" i="8"/>
  <c r="H49" i="8"/>
  <c r="F73" i="8"/>
  <c r="H73" i="8"/>
  <c r="G85" i="8"/>
  <c r="H86" i="8"/>
  <c r="E85" i="8"/>
  <c r="G87" i="8"/>
  <c r="O85" i="8"/>
  <c r="Q86" i="8"/>
  <c r="L85" i="8"/>
  <c r="J85" i="8"/>
  <c r="H85" i="8"/>
  <c r="G73" i="8"/>
  <c r="J74" i="8"/>
  <c r="J76" i="8"/>
  <c r="K74" i="8"/>
  <c r="K93" i="8"/>
  <c r="G75" i="8"/>
  <c r="N85" i="8"/>
  <c r="P86" i="8"/>
  <c r="D49" i="8"/>
  <c r="N74" i="8"/>
  <c r="N73" i="8"/>
  <c r="M73" i="8"/>
  <c r="O74" i="8"/>
  <c r="L75" i="8"/>
  <c r="I73" i="8"/>
  <c r="O49" i="8"/>
  <c r="L73" i="8"/>
  <c r="O73" i="8"/>
  <c r="I75" i="8"/>
  <c r="N75" i="8"/>
  <c r="J49" i="8"/>
  <c r="H74" i="8"/>
  <c r="F75" i="8"/>
  <c r="I85" i="8"/>
  <c r="L74" i="8"/>
  <c r="C23" i="8"/>
  <c r="C31" i="8"/>
  <c r="F87" i="8"/>
  <c r="F86" i="8"/>
  <c r="H87" i="8"/>
  <c r="H89" i="8"/>
  <c r="O86" i="8"/>
  <c r="K76" i="8"/>
  <c r="M76" i="8"/>
  <c r="M87" i="8"/>
  <c r="J93" i="8"/>
  <c r="L94" i="8"/>
  <c r="J87" i="8"/>
  <c r="M86" i="8"/>
  <c r="P87" i="8"/>
  <c r="P89" i="8"/>
  <c r="O87" i="8"/>
  <c r="O89" i="8"/>
  <c r="G76" i="8"/>
  <c r="L86" i="8"/>
  <c r="L87" i="8"/>
  <c r="F76" i="8"/>
  <c r="N76" i="8"/>
  <c r="F93" i="8"/>
  <c r="H76" i="8"/>
  <c r="M93" i="8"/>
  <c r="Q87" i="8"/>
  <c r="Q89" i="8"/>
  <c r="G93" i="8"/>
  <c r="N87" i="8"/>
  <c r="N86" i="8"/>
  <c r="J86" i="8"/>
  <c r="G86" i="8"/>
  <c r="G89" i="8"/>
  <c r="I87" i="8"/>
  <c r="I86" i="8"/>
  <c r="O76" i="8"/>
  <c r="O93" i="8"/>
  <c r="L76" i="8"/>
  <c r="L93" i="8"/>
  <c r="M95" i="8"/>
  <c r="N93" i="8"/>
  <c r="H93" i="8"/>
  <c r="K87" i="8"/>
  <c r="K86" i="8"/>
  <c r="I76" i="8"/>
  <c r="I93" i="8"/>
  <c r="E31" i="8"/>
  <c r="C33" i="8"/>
  <c r="F89" i="8"/>
  <c r="F101" i="8"/>
  <c r="F88" i="8"/>
  <c r="G88" i="8"/>
  <c r="H88" i="8"/>
  <c r="I88" i="8"/>
  <c r="J88" i="8"/>
  <c r="K88" i="8"/>
  <c r="L88" i="8"/>
  <c r="M88" i="8"/>
  <c r="N88" i="8"/>
  <c r="O88" i="8"/>
  <c r="P88" i="8"/>
  <c r="Q88" i="8"/>
  <c r="M89" i="8"/>
  <c r="L95" i="8"/>
  <c r="L97" i="8"/>
  <c r="J89" i="8"/>
  <c r="K89" i="8"/>
  <c r="I95" i="8"/>
  <c r="H94" i="8"/>
  <c r="G95" i="8"/>
  <c r="G94" i="8"/>
  <c r="L89" i="8"/>
  <c r="O94" i="8"/>
  <c r="M94" i="8"/>
  <c r="M97" i="8"/>
  <c r="I89" i="8"/>
  <c r="H95" i="8"/>
  <c r="O95" i="8"/>
  <c r="I94" i="8"/>
  <c r="N89" i="8"/>
  <c r="Q95" i="8"/>
  <c r="Q94" i="8"/>
  <c r="J95" i="8"/>
  <c r="J94" i="8"/>
  <c r="K95" i="8"/>
  <c r="K94" i="8"/>
  <c r="P94" i="8"/>
  <c r="P95" i="8"/>
  <c r="N95" i="8"/>
  <c r="N94" i="8"/>
  <c r="O97" i="8"/>
  <c r="I97" i="8"/>
  <c r="H97" i="8"/>
  <c r="G97" i="8"/>
  <c r="G101" i="8"/>
  <c r="G96" i="8"/>
  <c r="H96" i="8"/>
  <c r="N97" i="8"/>
  <c r="J97" i="8"/>
  <c r="K97" i="8"/>
  <c r="Q97" i="8"/>
  <c r="P97" i="8"/>
  <c r="I96" i="8"/>
  <c r="J96" i="8"/>
  <c r="K96" i="8"/>
  <c r="L96" i="8"/>
  <c r="M96" i="8"/>
  <c r="N96" i="8"/>
  <c r="O96" i="8"/>
  <c r="P96" i="8"/>
  <c r="Q96" i="8"/>
  <c r="F104" i="8"/>
  <c r="H101" i="8"/>
  <c r="I101" i="8"/>
  <c r="J101" i="8"/>
  <c r="K101" i="8"/>
  <c r="L101" i="8"/>
  <c r="M101" i="8"/>
  <c r="N101" i="8"/>
  <c r="O101" i="8"/>
  <c r="P101" i="8"/>
  <c r="Q101" i="8"/>
</calcChain>
</file>

<file path=xl/sharedStrings.xml><?xml version="1.0" encoding="utf-8"?>
<sst xmlns="http://schemas.openxmlformats.org/spreadsheetml/2006/main" count="133" uniqueCount="111">
  <si>
    <t>IVA a pagar</t>
  </si>
  <si>
    <t>Regime de IVA:</t>
  </si>
  <si>
    <t>IVA de Vendas/Serviços</t>
  </si>
  <si>
    <t>IVA Liquidado de Vendas/Serviços</t>
  </si>
  <si>
    <t>Prazo médio de recebimento dos clientes:</t>
  </si>
  <si>
    <t>Prazo médio de pagamento de fornecedores e outros credores:</t>
  </si>
  <si>
    <t>Efeito acumulado na tesouraria</t>
  </si>
  <si>
    <t>após a data da emissão das faturas.</t>
  </si>
  <si>
    <t>Continente</t>
  </si>
  <si>
    <t>Localização da Sede:</t>
  </si>
  <si>
    <t>Tx.</t>
  </si>
  <si>
    <t>Período:</t>
  </si>
  <si>
    <t>Nome / Designação Social:</t>
  </si>
  <si>
    <t>Dados da empresa:</t>
  </si>
  <si>
    <t>FSE e outros gastos operacionais</t>
  </si>
  <si>
    <t>Total</t>
  </si>
  <si>
    <t>Recebimentos</t>
  </si>
  <si>
    <t>Pagamentos</t>
  </si>
  <si>
    <t>Valor Anual</t>
  </si>
  <si>
    <t>Produção</t>
  </si>
  <si>
    <t>Consumos Intermédios</t>
  </si>
  <si>
    <t>IVA Dedutível de Inventários, FSE e outros</t>
  </si>
  <si>
    <t>Vendas / Prestações Serviços</t>
  </si>
  <si>
    <t>Compras de Inventários</t>
  </si>
  <si>
    <t>Vendas e Prestações de Serviços</t>
  </si>
  <si>
    <t>FSE e Outros Gastos Operacionais:</t>
  </si>
  <si>
    <t>Prazo Médio  Stocks Dias:</t>
  </si>
  <si>
    <t>IVA apuramento - Regime de IVA de Caixa</t>
  </si>
  <si>
    <t>1 - Indicar o nome/designação social da empresa</t>
  </si>
  <si>
    <t>2 - Indicar o período (ano) de análise</t>
  </si>
  <si>
    <t>3 - Indicar o regime de apuramento do IVA (Trimestral ou Mensal)</t>
  </si>
  <si>
    <t>4 - Indicar o local da sede da empresa</t>
  </si>
  <si>
    <t>Dados económicos:</t>
  </si>
  <si>
    <t>Instruções de preenchimento e notas:</t>
  </si>
  <si>
    <t>repartidos por taxas de IVA.</t>
  </si>
  <si>
    <t>Os dados económicos devem contemplar apenas operações (outputs e inputs) sujeitas e tributadas em IVA</t>
  </si>
  <si>
    <t xml:space="preserve">O VAB corresponde ao valor da produção deduzindo-lhe tudo o que não é riqueza criada pela própria empresa, </t>
  </si>
  <si>
    <t xml:space="preserve">ou seja, os seus consumos intermédios (CMVMC; FSE; outros gastos operacionais). </t>
  </si>
  <si>
    <t>V.A.B. = Valor Acrescentado Bruto</t>
  </si>
  <si>
    <t>CMVMC = Stock inicial + compras - Stock final</t>
  </si>
  <si>
    <t>O Prazo médio de stocks em dias corresponde ao prazo médio de permância dos stocks no armazém.</t>
  </si>
  <si>
    <t xml:space="preserve">Prazo médio de stocks em dias = Stock médio / CMVMC x 365 </t>
  </si>
  <si>
    <t xml:space="preserve"> </t>
  </si>
  <si>
    <t>Stock Médio = (Stock inicial + stock final) / 2</t>
  </si>
  <si>
    <t>Dados financeiros:</t>
  </si>
  <si>
    <t>1 - Indicar o prazo médio de recebimento de clientes em dias</t>
  </si>
  <si>
    <t>2 - Indicar o prazo médio de pagamento de fornecedores em dias</t>
  </si>
  <si>
    <t>dias</t>
  </si>
  <si>
    <t>Estimativa Stock Final (€):</t>
  </si>
  <si>
    <t>€</t>
  </si>
  <si>
    <t xml:space="preserve">1 - Indicar a estimativa inicial (mensal ou trimestral) de vendas/prestações de serviços em euros (valores sem IVA) </t>
  </si>
  <si>
    <t>2 - Indicar a % de evolução das vendas/prestações de serviços prevista por taxas de IVA</t>
  </si>
  <si>
    <t>Análise:</t>
  </si>
  <si>
    <t xml:space="preserve">O campo "Qual a opção mais favorável?" sugere qual o regime de IVA mais vantajoso para empresa </t>
  </si>
  <si>
    <t>(regime geral de IVA ou regime de IVA de Caixa).</t>
  </si>
  <si>
    <t xml:space="preserve">Prazo médio de pagamento a fornecedores = (saldo de fornecedores + outras contas a pagar) / </t>
  </si>
  <si>
    <t xml:space="preserve">Prazo médio de recebimento de clientes = saldo de clientes / (vendas + prestações de serviços) x 365 </t>
  </si>
  <si>
    <t>Este resultado é uma mera indicação de acordo com os dados introduzidos, que resulta da poupança na tesouraria</t>
  </si>
  <si>
    <t>da empresa pela adoção do regime de IVA mais vantajoso. No entanto, a empresa deve ainda ter atenção outros</t>
  </si>
  <si>
    <t>indicadores e obrigações de cumprimento fiscal e contabilístico.</t>
  </si>
  <si>
    <t>Gráfico:</t>
  </si>
  <si>
    <t xml:space="preserve">Representa a evolução na tesouraria da empresa relativamente ao apuramento de IVA, estabelecendo o comparativo </t>
  </si>
  <si>
    <t>entre os dois regimes de IVA (Geral e de caixa)).</t>
  </si>
  <si>
    <t xml:space="preserve">Quando mais alta estiver a linha no eixo vertical maior é a vantagem para a tesouraria da empresa em adotar o </t>
  </si>
  <si>
    <t>regime de IVA de Caixa.</t>
  </si>
  <si>
    <t xml:space="preserve">As colunas representam o impato do apuramento do IVA na tesouraria da empresa para ambos os regimes de IVA </t>
  </si>
  <si>
    <t>(Geral e de Caixa).</t>
  </si>
  <si>
    <t xml:space="preserve"> A simulação não contempla a liquidação e dedução de IVA das vendas e compras não recebidas e não pagas no final do prazo de 12 meses</t>
  </si>
  <si>
    <t>Os valores apresentados correspondem a estimativas médias dos dados económicos e de recebimentos e pagamentos, podendo não refletir</t>
  </si>
  <si>
    <t xml:space="preserve"> com exatidão todas as situações das empresas em análise.</t>
  </si>
  <si>
    <t>Indicadores de análise:</t>
  </si>
  <si>
    <t>V.A.B.: (€)</t>
  </si>
  <si>
    <t>(valores sem IVA)</t>
  </si>
  <si>
    <t>Trimestral</t>
  </si>
  <si>
    <t>CMVMC: (€)</t>
  </si>
  <si>
    <t>Total de Recebimentos</t>
  </si>
  <si>
    <t>Total de Pagamentos</t>
  </si>
  <si>
    <t>4 - Indicar a % de evolução das compras de inventários por taxas de IVA</t>
  </si>
  <si>
    <t xml:space="preserve">5 - Indicar a estimativa inicial (mensal ou trimestral) de gastos com Fornecimentos e Serviços Externos (FSE) </t>
  </si>
  <si>
    <t>6 - Indicar a % de evolução das gastos com FSE e outros gastos operacionais por taxas de IVA</t>
  </si>
  <si>
    <t>2 - Indicar a estimativa de valor de stock final de inventários em euros</t>
  </si>
  <si>
    <t>1 - Indicar o valor de stock inicial de inventários em euros</t>
  </si>
  <si>
    <t>pelo regime de IVA de Caixa, por existir menor necessidade de adquirir stocks (com valores de dedução de IVA)</t>
  </si>
  <si>
    <t xml:space="preserve"> por existir menor valor de inputs para dedução de IVA.</t>
  </si>
  <si>
    <r>
      <t xml:space="preserve">Quanto </t>
    </r>
    <r>
      <rPr>
        <u/>
        <sz val="12"/>
        <color theme="1"/>
        <rFont val="Trebuchet MS"/>
        <family val="2"/>
      </rPr>
      <t>menor</t>
    </r>
    <r>
      <rPr>
        <sz val="12"/>
        <color theme="1"/>
        <rFont val="Trebuchet MS"/>
        <family val="2"/>
      </rPr>
      <t xml:space="preserve"> for o prazo médio de pagamentos, tendencialmente </t>
    </r>
    <r>
      <rPr>
        <u/>
        <sz val="12"/>
        <color theme="1"/>
        <rFont val="Trebuchet MS"/>
        <family val="2"/>
      </rPr>
      <t>maior</t>
    </r>
    <r>
      <rPr>
        <sz val="12"/>
        <color theme="1"/>
        <rFont val="Trebuchet MS"/>
        <family val="2"/>
      </rPr>
      <t xml:space="preserve"> é a vantagem em optar pelo Regime de IVA de Caixa</t>
    </r>
  </si>
  <si>
    <r>
      <rPr>
        <b/>
        <sz val="12"/>
        <color theme="1"/>
        <rFont val="Trebuchet MS"/>
        <family val="2"/>
      </rPr>
      <t>Notas</t>
    </r>
    <r>
      <rPr>
        <sz val="12"/>
        <color theme="1"/>
        <rFont val="Trebuchet MS"/>
        <family val="2"/>
      </rPr>
      <t xml:space="preserve">: Quanto </t>
    </r>
    <r>
      <rPr>
        <u/>
        <sz val="12"/>
        <color theme="1"/>
        <rFont val="Trebuchet MS"/>
        <family val="2"/>
      </rPr>
      <t>maior</t>
    </r>
    <r>
      <rPr>
        <sz val="12"/>
        <color theme="1"/>
        <rFont val="Trebuchet MS"/>
        <family val="2"/>
      </rPr>
      <t xml:space="preserve"> for o prazo médio de recebimentos, tendencialmente </t>
    </r>
    <r>
      <rPr>
        <u/>
        <sz val="12"/>
        <color theme="1"/>
        <rFont val="Trebuchet MS"/>
        <family val="2"/>
      </rPr>
      <t>maior</t>
    </r>
    <r>
      <rPr>
        <sz val="12"/>
        <color theme="1"/>
        <rFont val="Trebuchet MS"/>
        <family val="2"/>
      </rPr>
      <t xml:space="preserve"> é a vantagem em optar pelo Regime de IVA de Caixa</t>
    </r>
  </si>
  <si>
    <r>
      <rPr>
        <b/>
        <sz val="12"/>
        <color theme="1"/>
        <rFont val="Trebuchet MS"/>
        <family val="2"/>
      </rPr>
      <t>Nota:</t>
    </r>
    <r>
      <rPr>
        <sz val="12"/>
        <color theme="1"/>
        <rFont val="Trebuchet MS"/>
        <family val="2"/>
      </rPr>
      <t xml:space="preserve"> Quanto </t>
    </r>
    <r>
      <rPr>
        <u/>
        <sz val="12"/>
        <color theme="1"/>
        <rFont val="Trebuchet MS"/>
        <family val="2"/>
      </rPr>
      <t>maior</t>
    </r>
    <r>
      <rPr>
        <sz val="12"/>
        <color theme="1"/>
        <rFont val="Trebuchet MS"/>
        <family val="2"/>
      </rPr>
      <t xml:space="preserve"> for o prazo médio de permanência dos stocks em inventário, tendencialmente </t>
    </r>
    <r>
      <rPr>
        <u/>
        <sz val="12"/>
        <color theme="1"/>
        <rFont val="Trebuchet MS"/>
        <family val="2"/>
      </rPr>
      <t>maior</t>
    </r>
    <r>
      <rPr>
        <sz val="12"/>
        <color theme="1"/>
        <rFont val="Trebuchet MS"/>
        <family val="2"/>
      </rPr>
      <t xml:space="preserve"> é a vantagem em optar </t>
    </r>
  </si>
  <si>
    <r>
      <rPr>
        <b/>
        <sz val="12"/>
        <color theme="1"/>
        <rFont val="Trebuchet MS"/>
        <family val="2"/>
      </rPr>
      <t>Nota:</t>
    </r>
    <r>
      <rPr>
        <sz val="12"/>
        <color theme="1"/>
        <rFont val="Trebuchet MS"/>
        <family val="2"/>
      </rPr>
      <t xml:space="preserve"> Quanto </t>
    </r>
    <r>
      <rPr>
        <u/>
        <sz val="12"/>
        <color theme="1"/>
        <rFont val="Trebuchet MS"/>
        <family val="2"/>
      </rPr>
      <t>maior</t>
    </r>
    <r>
      <rPr>
        <sz val="12"/>
        <color theme="1"/>
        <rFont val="Trebuchet MS"/>
        <family val="2"/>
      </rPr>
      <t xml:space="preserve"> o VAB da empresa tendencialmente </t>
    </r>
    <r>
      <rPr>
        <u/>
        <sz val="12"/>
        <color theme="1"/>
        <rFont val="Trebuchet MS"/>
        <family val="2"/>
      </rPr>
      <t>maior</t>
    </r>
    <r>
      <rPr>
        <sz val="12"/>
        <color theme="1"/>
        <rFont val="Trebuchet MS"/>
        <family val="2"/>
      </rPr>
      <t xml:space="preserve"> é a vantagem em optar pelo regime de IVA de Caixa,</t>
    </r>
  </si>
  <si>
    <t>Outras notas:</t>
  </si>
  <si>
    <t>Esta análise não dispensa a consulta à legislação fiscal.</t>
  </si>
  <si>
    <t>OTOC © 2013. Direitos reservados.</t>
  </si>
  <si>
    <t>Para fazer a simulação preencha por favor os campos assinalados nos pontos 1, 2, 3 e 4. Instruções de preenchimento em folha anexa.</t>
  </si>
  <si>
    <t xml:space="preserve">3 - Indicar a estimativa inicial (mensal ou trimestral) de compras de inventários (valores sem IVA) repartidos por taxas de IVA </t>
  </si>
  <si>
    <t>e outros gastos operacionais (valores sem IVA) em euros repartidos por taxas de IVA.</t>
  </si>
  <si>
    <t>(compras + FSE e outros gastos operacionais) x 365</t>
  </si>
  <si>
    <r>
      <t>IVA apuramento - Regime</t>
    </r>
    <r>
      <rPr>
        <b/>
        <i/>
        <sz val="14"/>
        <rFont val="Trebuchet MS"/>
        <family val="2"/>
      </rPr>
      <t xml:space="preserve"> </t>
    </r>
    <r>
      <rPr>
        <b/>
        <sz val="14"/>
        <rFont val="Trebuchet MS"/>
        <family val="2"/>
      </rPr>
      <t>Geral de IVA</t>
    </r>
  </si>
  <si>
    <t>Dados a preencher nos campos de cor branca com caixa laranja.</t>
  </si>
  <si>
    <t>Stock Inicial (€):</t>
  </si>
  <si>
    <t>IVA a recuperar</t>
  </si>
  <si>
    <t xml:space="preserve">A linha azul positiva - comparativo entre regimes - (acima do eixo horizontal) é indicador de que o regime de IVA de Caixa é mais vantojoso. </t>
  </si>
  <si>
    <t xml:space="preserve">A linha azul negativa - comparativo entre regimes -  (abaixo do eixo horizontal) é indicador de que o regime geral de IVA é mais vantojoso. </t>
  </si>
  <si>
    <t>1 - DADOS DA EMPRESA:</t>
  </si>
  <si>
    <t>2 - DADOS ECONÓMICOS:</t>
  </si>
  <si>
    <t>3 - INDICADORES DE ANÁLISE:</t>
  </si>
  <si>
    <t>ATIVIDADE OPERACIONAL</t>
  </si>
  <si>
    <t>4 - DADOS FINANCEIROS</t>
  </si>
  <si>
    <t>VALORES DE TESOURARIA DA ATIVIDADE OPERACIONAL:</t>
  </si>
  <si>
    <t>APURAMENTO DO IVA:</t>
  </si>
  <si>
    <t>RESULTADO DA ANÁLISE DO REGIME DE IVA:</t>
  </si>
  <si>
    <t>QUAL A OPÇÃO MAIS FAVORÁVEL?</t>
  </si>
  <si>
    <t>COMPARAÇÃO DE REGIMES DE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</si>
</sst>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\ &quot;€&quot;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i/>
      <sz val="10"/>
      <color theme="1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i/>
      <sz val="10"/>
      <color rgb="FFFF0000"/>
      <name val="Trebuchet MS"/>
      <family val="2"/>
    </font>
    <font>
      <i/>
      <sz val="10"/>
      <name val="Trebuchet MS"/>
      <family val="2"/>
    </font>
    <font>
      <b/>
      <sz val="14"/>
      <name val="Trebuchet MS"/>
      <family val="2"/>
    </font>
    <font>
      <b/>
      <sz val="16"/>
      <name val="Trebuchet MS"/>
      <family val="2"/>
    </font>
    <font>
      <b/>
      <sz val="16"/>
      <color theme="1"/>
      <name val="Trebuchet MS"/>
      <family val="2"/>
    </font>
    <font>
      <b/>
      <vertAlign val="superscript"/>
      <sz val="10"/>
      <color theme="1"/>
      <name val="Trebuchet MS"/>
      <family val="2"/>
    </font>
    <font>
      <sz val="11"/>
      <name val="Trebuchet MS"/>
      <family val="2"/>
    </font>
    <font>
      <b/>
      <sz val="14"/>
      <color theme="1"/>
      <name val="Trebuchet MS"/>
      <family val="2"/>
    </font>
    <font>
      <b/>
      <sz val="10"/>
      <color rgb="FFFF0000"/>
      <name val="Trebuchet MS"/>
      <family val="2"/>
    </font>
    <font>
      <sz val="11"/>
      <color theme="0"/>
      <name val="Trebuchet MS"/>
      <family val="2"/>
    </font>
    <font>
      <sz val="10"/>
      <color theme="0"/>
      <name val="Trebuchet MS"/>
      <family val="2"/>
    </font>
    <font>
      <i/>
      <sz val="10"/>
      <color theme="0"/>
      <name val="Trebuchet MS"/>
      <family val="2"/>
    </font>
    <font>
      <sz val="20"/>
      <color theme="0"/>
      <name val="Trebuchet MS"/>
      <family val="2"/>
    </font>
    <font>
      <sz val="18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4" tint="0.79998168889431442"/>
      <name val="Trebuchet MS"/>
      <family val="2"/>
    </font>
    <font>
      <sz val="11"/>
      <color theme="3" tint="0.79998168889431442"/>
      <name val="Trebuchet MS"/>
      <family val="2"/>
    </font>
    <font>
      <b/>
      <i/>
      <sz val="10"/>
      <name val="Trebuchet MS"/>
      <family val="2"/>
    </font>
    <font>
      <u/>
      <sz val="12"/>
      <color theme="1"/>
      <name val="Trebuchet MS"/>
      <family val="2"/>
    </font>
    <font>
      <sz val="10"/>
      <color theme="8" tint="0.79998168889431442"/>
      <name val="Trebuchet MS"/>
      <family val="2"/>
    </font>
    <font>
      <b/>
      <sz val="11"/>
      <name val="Trebuchet MS"/>
      <family val="2"/>
    </font>
    <font>
      <sz val="11"/>
      <color theme="8" tint="0.79998168889431442"/>
      <name val="Trebuchet MS"/>
      <family val="2"/>
    </font>
    <font>
      <sz val="18"/>
      <color theme="0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Trebuchet MS"/>
      <family val="2"/>
    </font>
    <font>
      <b/>
      <sz val="16"/>
      <color theme="0"/>
      <name val="Trebuchet MS"/>
      <family val="2"/>
    </font>
    <font>
      <b/>
      <sz val="26"/>
      <color theme="0"/>
      <name val="Trebuchet MS"/>
      <family val="2"/>
    </font>
    <font>
      <sz val="36"/>
      <color theme="1"/>
      <name val="Trebuchet MS"/>
      <family val="2"/>
    </font>
    <font>
      <b/>
      <i/>
      <sz val="14"/>
      <name val="Trebuchet MS"/>
      <family val="2"/>
    </font>
    <font>
      <b/>
      <sz val="18"/>
      <color theme="1"/>
      <name val="Trebuchet MS"/>
      <family val="2"/>
    </font>
    <font>
      <b/>
      <sz val="24"/>
      <color theme="0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hair">
        <color auto="1"/>
      </top>
      <bottom style="hair">
        <color auto="1"/>
      </bottom>
      <diagonal/>
    </border>
    <border>
      <left/>
      <right style="thin">
        <color theme="0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81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9" fontId="8" fillId="0" borderId="0" xfId="0" applyNumberFormat="1" applyFont="1" applyBorder="1" applyAlignment="1" applyProtection="1">
      <alignment horizontal="left" vertical="center"/>
      <protection hidden="1"/>
    </xf>
    <xf numFmtId="16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40" fontId="2" fillId="0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Fill="1" applyBorder="1" applyProtection="1">
      <protection hidden="1"/>
    </xf>
    <xf numFmtId="0" fontId="18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1" fontId="2" fillId="0" borderId="0" xfId="0" applyNumberFormat="1" applyFont="1" applyBorder="1" applyAlignment="1" applyProtection="1">
      <alignment horizontal="right" vertical="center"/>
      <protection hidden="1"/>
    </xf>
    <xf numFmtId="0" fontId="4" fillId="0" borderId="0" xfId="0" applyFont="1" applyFill="1" applyProtection="1">
      <protection hidden="1"/>
    </xf>
    <xf numFmtId="1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right" wrapText="1"/>
      <protection hidden="1"/>
    </xf>
    <xf numFmtId="9" fontId="4" fillId="0" borderId="0" xfId="1" applyFont="1" applyFill="1" applyAlignment="1" applyProtection="1">
      <alignment horizontal="center" vertical="center"/>
      <protection hidden="1"/>
    </xf>
    <xf numFmtId="0" fontId="17" fillId="0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164" fontId="25" fillId="0" borderId="0" xfId="0" applyNumberFormat="1" applyFont="1" applyFill="1" applyProtection="1">
      <protection hidden="1"/>
    </xf>
    <xf numFmtId="0" fontId="26" fillId="0" borderId="0" xfId="0" applyFont="1" applyFill="1" applyProtection="1">
      <protection hidden="1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1" fontId="5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5" fillId="6" borderId="0" xfId="0" applyFont="1" applyFill="1" applyAlignment="1" applyProtection="1">
      <alignment vertical="center"/>
      <protection hidden="1"/>
    </xf>
    <xf numFmtId="0" fontId="5" fillId="6" borderId="0" xfId="0" applyFont="1" applyFill="1" applyAlignment="1" applyProtection="1">
      <alignment horizontal="right" vertical="center" wrapText="1"/>
      <protection hidden="1"/>
    </xf>
    <xf numFmtId="6" fontId="5" fillId="6" borderId="0" xfId="0" applyNumberFormat="1" applyFont="1" applyFill="1" applyAlignment="1" applyProtection="1">
      <alignment horizontal="center" vertical="center" wrapText="1"/>
      <protection hidden="1"/>
    </xf>
    <xf numFmtId="0" fontId="5" fillId="6" borderId="0" xfId="0" applyFont="1" applyFill="1" applyAlignment="1" applyProtection="1">
      <alignment horizontal="left" vertical="center" wrapText="1"/>
      <protection hidden="1"/>
    </xf>
    <xf numFmtId="1" fontId="2" fillId="6" borderId="0" xfId="0" applyNumberFormat="1" applyFont="1" applyFill="1" applyBorder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vertical="center" wrapText="1"/>
      <protection hidden="1"/>
    </xf>
    <xf numFmtId="0" fontId="2" fillId="6" borderId="0" xfId="0" applyFont="1" applyFill="1" applyAlignment="1" applyProtection="1">
      <alignment vertical="center"/>
      <protection hidden="1"/>
    </xf>
    <xf numFmtId="0" fontId="2" fillId="6" borderId="0" xfId="0" applyFont="1" applyFill="1" applyAlignment="1" applyProtection="1">
      <alignment horizontal="left" vertical="center" wrapText="1"/>
      <protection hidden="1"/>
    </xf>
    <xf numFmtId="0" fontId="4" fillId="6" borderId="0" xfId="0" applyFont="1" applyFill="1" applyAlignment="1" applyProtection="1">
      <alignment horizontal="right" vertical="center" wrapText="1"/>
      <protection hidden="1"/>
    </xf>
    <xf numFmtId="164" fontId="2" fillId="3" borderId="0" xfId="0" applyNumberFormat="1" applyFont="1" applyFill="1" applyBorder="1" applyAlignment="1" applyProtection="1">
      <alignment horizontal="center" vertical="center"/>
      <protection hidden="1"/>
    </xf>
    <xf numFmtId="1" fontId="14" fillId="3" borderId="0" xfId="0" applyNumberFormat="1" applyFont="1" applyFill="1" applyBorder="1" applyAlignment="1" applyProtection="1">
      <alignment horizontal="center" vertical="center"/>
      <protection hidden="1"/>
    </xf>
    <xf numFmtId="6" fontId="4" fillId="3" borderId="0" xfId="1" applyNumberFormat="1" applyFont="1" applyFill="1" applyAlignment="1" applyProtection="1">
      <alignment horizontal="center" vertical="center"/>
      <protection hidden="1"/>
    </xf>
    <xf numFmtId="0" fontId="4" fillId="6" borderId="0" xfId="0" applyFont="1" applyFill="1" applyProtection="1">
      <protection hidden="1"/>
    </xf>
    <xf numFmtId="0" fontId="4" fillId="6" borderId="0" xfId="0" applyFont="1" applyFill="1" applyAlignment="1" applyProtection="1">
      <alignment horizontal="right" wrapText="1"/>
      <protection hidden="1"/>
    </xf>
    <xf numFmtId="9" fontId="4" fillId="6" borderId="0" xfId="1" applyFont="1" applyFill="1" applyAlignment="1" applyProtection="1">
      <alignment horizontal="center" vertical="center"/>
      <protection hidden="1"/>
    </xf>
    <xf numFmtId="0" fontId="13" fillId="6" borderId="0" xfId="0" applyFont="1" applyFill="1" applyAlignment="1" applyProtection="1">
      <alignment horizontal="right" vertical="center"/>
      <protection hidden="1"/>
    </xf>
    <xf numFmtId="0" fontId="16" fillId="6" borderId="0" xfId="0" applyNumberFormat="1" applyFont="1" applyFill="1" applyAlignment="1" applyProtection="1">
      <alignment horizontal="left" vertical="center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Border="1" applyAlignment="1" applyProtection="1">
      <alignment horizontal="left" vertical="center" wrapText="1"/>
      <protection hidden="1"/>
    </xf>
    <xf numFmtId="9" fontId="2" fillId="6" borderId="0" xfId="1" applyFont="1" applyFill="1" applyBorder="1" applyAlignment="1" applyProtection="1">
      <alignment horizontal="center" vertical="center"/>
      <protection hidden="1"/>
    </xf>
    <xf numFmtId="9" fontId="2" fillId="6" borderId="0" xfId="1" applyFont="1" applyFill="1" applyBorder="1" applyAlignment="1" applyProtection="1">
      <alignment horizontal="center" vertical="center" wrapText="1"/>
      <protection hidden="1"/>
    </xf>
    <xf numFmtId="9" fontId="2" fillId="6" borderId="0" xfId="0" applyNumberFormat="1" applyFont="1" applyFill="1" applyBorder="1" applyAlignment="1" applyProtection="1">
      <alignment horizontal="left" vertical="center" wrapText="1"/>
      <protection hidden="1"/>
    </xf>
    <xf numFmtId="0" fontId="10" fillId="6" borderId="0" xfId="0" applyFont="1" applyFill="1" applyAlignment="1" applyProtection="1">
      <alignment horizontal="right"/>
      <protection hidden="1"/>
    </xf>
    <xf numFmtId="0" fontId="5" fillId="6" borderId="0" xfId="0" applyFont="1" applyFill="1" applyAlignment="1" applyProtection="1">
      <alignment horizontal="left" vertical="top" wrapText="1"/>
      <protection hidden="1"/>
    </xf>
    <xf numFmtId="0" fontId="5" fillId="6" borderId="0" xfId="0" applyFont="1" applyFill="1" applyBorder="1" applyAlignment="1" applyProtection="1">
      <alignment horizontal="right" vertical="center"/>
      <protection hidden="1"/>
    </xf>
    <xf numFmtId="0" fontId="2" fillId="6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2" fillId="6" borderId="0" xfId="0" applyFont="1" applyFill="1" applyAlignment="1" applyProtection="1">
      <alignment horizontal="left" vertical="top" wrapText="1"/>
      <protection hidden="1"/>
    </xf>
    <xf numFmtId="0" fontId="2" fillId="6" borderId="0" xfId="0" applyFont="1" applyFill="1" applyBorder="1" applyProtection="1">
      <protection hidden="1"/>
    </xf>
    <xf numFmtId="0" fontId="3" fillId="6" borderId="0" xfId="0" applyFont="1" applyFill="1" applyBorder="1" applyProtection="1">
      <protection hidden="1"/>
    </xf>
    <xf numFmtId="0" fontId="2" fillId="6" borderId="0" xfId="0" applyFont="1" applyFill="1" applyBorder="1" applyAlignment="1" applyProtection="1">
      <alignment vertical="center"/>
      <protection hidden="1"/>
    </xf>
    <xf numFmtId="0" fontId="5" fillId="6" borderId="0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Border="1" applyAlignment="1" applyProtection="1">
      <alignment horizontal="right" vertical="center"/>
      <protection hidden="1"/>
    </xf>
    <xf numFmtId="9" fontId="8" fillId="6" borderId="0" xfId="0" applyNumberFormat="1" applyFont="1" applyFill="1" applyBorder="1" applyAlignment="1" applyProtection="1">
      <alignment horizontal="left" vertical="center"/>
      <protection hidden="1"/>
    </xf>
    <xf numFmtId="9" fontId="9" fillId="6" borderId="0" xfId="0" applyNumberFormat="1" applyFont="1" applyFill="1" applyBorder="1" applyAlignment="1" applyProtection="1">
      <alignment horizontal="center" vertical="center"/>
      <protection hidden="1"/>
    </xf>
    <xf numFmtId="0" fontId="7" fillId="6" borderId="0" xfId="0" applyNumberFormat="1" applyFont="1" applyFill="1" applyBorder="1" applyAlignment="1" applyProtection="1">
      <alignment horizontal="center" vertical="center"/>
      <protection hidden="1"/>
    </xf>
    <xf numFmtId="164" fontId="2" fillId="6" borderId="0" xfId="0" applyNumberFormat="1" applyFont="1" applyFill="1" applyBorder="1" applyAlignment="1" applyProtection="1">
      <alignment vertical="center"/>
      <protection hidden="1"/>
    </xf>
    <xf numFmtId="164" fontId="2" fillId="6" borderId="0" xfId="0" applyNumberFormat="1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164" fontId="2" fillId="5" borderId="0" xfId="0" applyNumberFormat="1" applyFont="1" applyFill="1" applyBorder="1" applyAlignment="1" applyProtection="1">
      <alignment horizontal="center" vertical="center"/>
      <protection hidden="1"/>
    </xf>
    <xf numFmtId="9" fontId="9" fillId="3" borderId="0" xfId="0" applyNumberFormat="1" applyFont="1" applyFill="1" applyBorder="1" applyAlignment="1" applyProtection="1">
      <alignment horizontal="center" vertical="center"/>
      <protection hidden="1"/>
    </xf>
    <xf numFmtId="9" fontId="9" fillId="3" borderId="7" xfId="0" applyNumberFormat="1" applyFont="1" applyFill="1" applyBorder="1" applyAlignment="1" applyProtection="1">
      <alignment horizontal="center" vertical="center"/>
      <protection hidden="1"/>
    </xf>
    <xf numFmtId="164" fontId="2" fillId="3" borderId="7" xfId="0" applyNumberFormat="1" applyFont="1" applyFill="1" applyBorder="1" applyAlignment="1" applyProtection="1">
      <alignment horizontal="center" vertical="center"/>
      <protection hidden="1"/>
    </xf>
    <xf numFmtId="9" fontId="9" fillId="3" borderId="11" xfId="0" applyNumberFormat="1" applyFont="1" applyFill="1" applyBorder="1" applyAlignment="1" applyProtection="1">
      <alignment horizontal="center" vertical="center"/>
      <protection hidden="1"/>
    </xf>
    <xf numFmtId="164" fontId="2" fillId="3" borderId="11" xfId="0" applyNumberFormat="1" applyFont="1" applyFill="1" applyBorder="1" applyAlignment="1" applyProtection="1">
      <alignment horizontal="center" vertical="center"/>
      <protection hidden="1"/>
    </xf>
    <xf numFmtId="6" fontId="24" fillId="3" borderId="0" xfId="0" applyNumberFormat="1" applyFont="1" applyFill="1" applyAlignment="1" applyProtection="1">
      <alignment horizontal="center" vertical="center" wrapText="1"/>
      <protection hidden="1"/>
    </xf>
    <xf numFmtId="0" fontId="24" fillId="6" borderId="0" xfId="0" applyFont="1" applyFill="1" applyBorder="1" applyAlignment="1" applyProtection="1">
      <alignment horizontal="right" vertical="center"/>
      <protection hidden="1"/>
    </xf>
    <xf numFmtId="0" fontId="5" fillId="6" borderId="0" xfId="0" applyFont="1" applyFill="1" applyBorder="1" applyAlignment="1" applyProtection="1">
      <alignment vertical="center" wrapText="1"/>
      <protection hidden="1"/>
    </xf>
    <xf numFmtId="0" fontId="5" fillId="6" borderId="0" xfId="0" applyNumberFormat="1" applyFont="1" applyFill="1" applyBorder="1" applyAlignment="1" applyProtection="1">
      <alignment vertical="center"/>
      <protection hidden="1"/>
    </xf>
    <xf numFmtId="1" fontId="2" fillId="6" borderId="0" xfId="0" applyNumberFormat="1" applyFont="1" applyFill="1" applyBorder="1" applyAlignment="1" applyProtection="1">
      <alignment horizontal="center" vertical="center"/>
      <protection hidden="1"/>
    </xf>
    <xf numFmtId="0" fontId="24" fillId="6" borderId="0" xfId="0" applyFont="1" applyFill="1" applyBorder="1" applyAlignment="1" applyProtection="1">
      <alignment vertical="center" wrapText="1"/>
      <protection hidden="1"/>
    </xf>
    <xf numFmtId="0" fontId="24" fillId="6" borderId="0" xfId="0" applyNumberFormat="1" applyFont="1" applyFill="1" applyBorder="1" applyAlignment="1" applyProtection="1">
      <alignment horizontal="right" vertical="center"/>
      <protection hidden="1"/>
    </xf>
    <xf numFmtId="0" fontId="6" fillId="6" borderId="0" xfId="0" applyFont="1" applyFill="1" applyBorder="1" applyAlignment="1" applyProtection="1">
      <alignment horizontal="center" vertical="center" wrapText="1"/>
      <protection hidden="1"/>
    </xf>
    <xf numFmtId="0" fontId="5" fillId="6" borderId="4" xfId="0" applyFont="1" applyFill="1" applyBorder="1" applyAlignment="1" applyProtection="1">
      <alignment horizontal="right" vertical="center"/>
      <protection hidden="1"/>
    </xf>
    <xf numFmtId="0" fontId="5" fillId="6" borderId="0" xfId="0" applyFont="1" applyFill="1" applyBorder="1" applyAlignment="1" applyProtection="1">
      <alignment horizontal="center" vertical="center" wrapText="1"/>
      <protection hidden="1"/>
    </xf>
    <xf numFmtId="0" fontId="3" fillId="6" borderId="0" xfId="0" applyFont="1" applyFill="1" applyBorder="1" applyAlignment="1" applyProtection="1">
      <alignment vertical="center"/>
      <protection hidden="1"/>
    </xf>
    <xf numFmtId="40" fontId="2" fillId="6" borderId="0" xfId="0" applyNumberFormat="1" applyFont="1" applyFill="1" applyBorder="1" applyAlignment="1" applyProtection="1">
      <alignment vertical="center"/>
      <protection hidden="1"/>
    </xf>
    <xf numFmtId="0" fontId="2" fillId="6" borderId="4" xfId="0" applyFont="1" applyFill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164" fontId="2" fillId="5" borderId="5" xfId="0" applyNumberFormat="1" applyFont="1" applyFill="1" applyBorder="1" applyAlignment="1" applyProtection="1">
      <alignment horizontal="center" vertical="center"/>
      <protection hidden="1"/>
    </xf>
    <xf numFmtId="164" fontId="2" fillId="5" borderId="4" xfId="0" applyNumberFormat="1" applyFont="1" applyFill="1" applyBorder="1" applyAlignment="1" applyProtection="1">
      <alignment horizontal="center" vertical="center"/>
      <protection hidden="1"/>
    </xf>
    <xf numFmtId="164" fontId="2" fillId="5" borderId="1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10" xfId="0" applyNumberFormat="1" applyFont="1" applyFill="1" applyBorder="1" applyAlignment="1" applyProtection="1">
      <alignment horizontal="center" vertical="center"/>
      <protection hidden="1"/>
    </xf>
    <xf numFmtId="164" fontId="2" fillId="3" borderId="10" xfId="0" applyNumberFormat="1" applyFont="1" applyFill="1" applyBorder="1" applyAlignment="1" applyProtection="1">
      <alignment horizontal="center" vertical="center"/>
      <protection hidden="1"/>
    </xf>
    <xf numFmtId="164" fontId="2" fillId="3" borderId="6" xfId="0" applyNumberFormat="1" applyFont="1" applyFill="1" applyBorder="1" applyAlignment="1" applyProtection="1">
      <alignment horizontal="center" vertical="center"/>
      <protection hidden="1"/>
    </xf>
    <xf numFmtId="9" fontId="9" fillId="3" borderId="13" xfId="0" applyNumberFormat="1" applyFont="1" applyFill="1" applyBorder="1" applyAlignment="1" applyProtection="1">
      <alignment horizontal="center" vertical="center"/>
      <protection hidden="1"/>
    </xf>
    <xf numFmtId="164" fontId="2" fillId="3" borderId="13" xfId="0" applyNumberFormat="1" applyFont="1" applyFill="1" applyBorder="1" applyAlignment="1" applyProtection="1">
      <alignment horizontal="center" vertical="center"/>
      <protection hidden="1"/>
    </xf>
    <xf numFmtId="0" fontId="18" fillId="6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vertical="center"/>
      <protection hidden="1"/>
    </xf>
    <xf numFmtId="0" fontId="18" fillId="6" borderId="0" xfId="0" applyFont="1" applyFill="1" applyProtection="1">
      <protection hidden="1"/>
    </xf>
    <xf numFmtId="40" fontId="18" fillId="6" borderId="0" xfId="0" applyNumberFormat="1" applyFont="1" applyFill="1" applyBorder="1" applyAlignment="1" applyProtection="1">
      <alignment horizontal="center" vertical="center"/>
      <protection hidden="1"/>
    </xf>
    <xf numFmtId="164" fontId="18" fillId="6" borderId="0" xfId="0" applyNumberFormat="1" applyFont="1" applyFill="1" applyBorder="1" applyAlignment="1" applyProtection="1">
      <alignment horizontal="center"/>
      <protection hidden="1"/>
    </xf>
    <xf numFmtId="0" fontId="17" fillId="6" borderId="0" xfId="0" applyFont="1" applyFill="1" applyProtection="1">
      <protection hidden="1"/>
    </xf>
    <xf numFmtId="0" fontId="14" fillId="6" borderId="0" xfId="0" applyFont="1" applyFill="1" applyProtection="1">
      <protection hidden="1"/>
    </xf>
    <xf numFmtId="0" fontId="25" fillId="6" borderId="0" xfId="0" applyFont="1" applyFill="1" applyProtection="1">
      <protection hidden="1"/>
    </xf>
    <xf numFmtId="164" fontId="25" fillId="6" borderId="0" xfId="0" applyNumberFormat="1" applyFont="1" applyFill="1" applyProtection="1">
      <protection hidden="1"/>
    </xf>
    <xf numFmtId="0" fontId="26" fillId="6" borderId="0" xfId="0" applyFont="1" applyFill="1" applyProtection="1">
      <protection hidden="1"/>
    </xf>
    <xf numFmtId="164" fontId="25" fillId="6" borderId="0" xfId="0" applyNumberFormat="1" applyFont="1" applyFill="1" applyBorder="1" applyAlignment="1" applyProtection="1">
      <alignment horizontal="center"/>
      <protection hidden="1"/>
    </xf>
    <xf numFmtId="0" fontId="21" fillId="6" borderId="0" xfId="0" applyFont="1" applyFill="1" applyAlignment="1" applyProtection="1">
      <alignment horizontal="center" vertical="center"/>
      <protection hidden="1"/>
    </xf>
    <xf numFmtId="0" fontId="31" fillId="6" borderId="0" xfId="0" applyFont="1" applyFill="1" applyProtection="1">
      <protection hidden="1"/>
    </xf>
    <xf numFmtId="164" fontId="29" fillId="6" borderId="0" xfId="0" applyNumberFormat="1" applyFont="1" applyFill="1" applyProtection="1">
      <protection hidden="1"/>
    </xf>
    <xf numFmtId="6" fontId="24" fillId="3" borderId="8" xfId="0" applyNumberFormat="1" applyFont="1" applyFill="1" applyBorder="1" applyAlignment="1" applyProtection="1">
      <alignment horizontal="center" vertical="center" wrapText="1"/>
      <protection hidden="1"/>
    </xf>
    <xf numFmtId="6" fontId="24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35" fillId="4" borderId="10" xfId="0" applyFont="1" applyFill="1" applyBorder="1" applyAlignment="1" applyProtection="1">
      <alignment horizontal="center" vertical="center" wrapText="1"/>
      <protection hidden="1"/>
    </xf>
    <xf numFmtId="1" fontId="35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24" fillId="6" borderId="0" xfId="0" applyFont="1" applyFill="1" applyAlignment="1" applyProtection="1">
      <alignment horizontal="right" vertical="center" wrapText="1"/>
      <protection hidden="1"/>
    </xf>
    <xf numFmtId="0" fontId="24" fillId="6" borderId="0" xfId="0" applyFont="1" applyFill="1" applyAlignment="1" applyProtection="1">
      <alignment horizontal="center" vertical="center" wrapText="1"/>
      <protection hidden="1"/>
    </xf>
    <xf numFmtId="6" fontId="24" fillId="6" borderId="0" xfId="0" applyNumberFormat="1" applyFont="1" applyFill="1" applyAlignment="1" applyProtection="1">
      <alignment horizontal="center" vertical="center" wrapText="1"/>
      <protection hidden="1"/>
    </xf>
    <xf numFmtId="164" fontId="2" fillId="7" borderId="0" xfId="0" applyNumberFormat="1" applyFont="1" applyFill="1" applyBorder="1" applyAlignment="1" applyProtection="1">
      <alignment horizontal="center" vertical="center"/>
      <protection hidden="1"/>
    </xf>
    <xf numFmtId="164" fontId="2" fillId="7" borderId="10" xfId="0" applyNumberFormat="1" applyFont="1" applyFill="1" applyBorder="1" applyAlignment="1" applyProtection="1">
      <alignment horizontal="center" vertical="center"/>
      <protection hidden="1"/>
    </xf>
    <xf numFmtId="164" fontId="2" fillId="7" borderId="7" xfId="0" applyNumberFormat="1" applyFont="1" applyFill="1" applyBorder="1" applyAlignment="1" applyProtection="1">
      <alignment horizontal="center" vertical="center"/>
      <protection hidden="1"/>
    </xf>
    <xf numFmtId="164" fontId="2" fillId="7" borderId="6" xfId="0" applyNumberFormat="1" applyFont="1" applyFill="1" applyBorder="1" applyAlignment="1" applyProtection="1">
      <alignment horizontal="center" vertical="center"/>
      <protection hidden="1"/>
    </xf>
    <xf numFmtId="164" fontId="5" fillId="7" borderId="0" xfId="0" applyNumberFormat="1" applyFont="1" applyFill="1" applyBorder="1" applyAlignment="1" applyProtection="1">
      <alignment horizontal="center" vertical="center"/>
      <protection hidden="1"/>
    </xf>
    <xf numFmtId="164" fontId="5" fillId="7" borderId="7" xfId="0" applyNumberFormat="1" applyFont="1" applyFill="1" applyBorder="1" applyAlignment="1" applyProtection="1">
      <alignment horizontal="center" vertical="center"/>
      <protection hidden="1"/>
    </xf>
    <xf numFmtId="164" fontId="27" fillId="8" borderId="3" xfId="0" applyNumberFormat="1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center"/>
      <protection hidden="1"/>
    </xf>
    <xf numFmtId="0" fontId="32" fillId="6" borderId="0" xfId="0" applyFont="1" applyFill="1" applyAlignment="1" applyProtection="1">
      <alignment horizontal="right" vertical="center"/>
      <protection hidden="1"/>
    </xf>
    <xf numFmtId="0" fontId="17" fillId="6" borderId="0" xfId="0" applyFont="1" applyFill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6" borderId="0" xfId="0" applyFont="1" applyFill="1" applyAlignment="1" applyProtection="1">
      <alignment vertical="center"/>
      <protection hidden="1"/>
    </xf>
    <xf numFmtId="0" fontId="10" fillId="6" borderId="0" xfId="0" applyFont="1" applyFill="1" applyAlignment="1" applyProtection="1">
      <alignment horizontal="right" vertical="center"/>
      <protection hidden="1"/>
    </xf>
    <xf numFmtId="0" fontId="30" fillId="6" borderId="0" xfId="0" applyFont="1" applyFill="1" applyAlignment="1" applyProtection="1">
      <alignment horizontal="right" vertical="center"/>
      <protection hidden="1"/>
    </xf>
    <xf numFmtId="0" fontId="24" fillId="2" borderId="14" xfId="0" applyFont="1" applyFill="1" applyBorder="1" applyAlignment="1" applyProtection="1">
      <alignment horizontal="center" vertical="center" wrapText="1"/>
      <protection locked="0" hidden="1"/>
    </xf>
    <xf numFmtId="0" fontId="24" fillId="2" borderId="14" xfId="0" applyFont="1" applyFill="1" applyBorder="1" applyAlignment="1" applyProtection="1">
      <alignment horizontal="center" vertical="center"/>
      <protection locked="0" hidden="1"/>
    </xf>
    <xf numFmtId="6" fontId="24" fillId="2" borderId="14" xfId="0" applyNumberFormat="1" applyFont="1" applyFill="1" applyBorder="1" applyAlignment="1" applyProtection="1">
      <alignment horizontal="center" vertical="center" wrapText="1"/>
      <protection locked="0" hidden="1"/>
    </xf>
    <xf numFmtId="9" fontId="4" fillId="2" borderId="14" xfId="1" applyFont="1" applyFill="1" applyBorder="1" applyAlignment="1" applyProtection="1">
      <alignment horizontal="center" vertical="center"/>
      <protection locked="0" hidden="1"/>
    </xf>
    <xf numFmtId="1" fontId="4" fillId="2" borderId="14" xfId="0" applyNumberFormat="1" applyFont="1" applyFill="1" applyBorder="1" applyAlignment="1" applyProtection="1">
      <alignment horizontal="center" vertical="center"/>
      <protection locked="0" hidden="1"/>
    </xf>
    <xf numFmtId="164" fontId="2" fillId="12" borderId="0" xfId="0" applyNumberFormat="1" applyFont="1" applyFill="1" applyBorder="1" applyAlignment="1" applyProtection="1">
      <alignment horizontal="center" vertical="center"/>
      <protection hidden="1"/>
    </xf>
    <xf numFmtId="164" fontId="2" fillId="12" borderId="7" xfId="0" applyNumberFormat="1" applyFont="1" applyFill="1" applyBorder="1" applyAlignment="1" applyProtection="1">
      <alignment horizontal="center" vertical="center"/>
      <protection hidden="1"/>
    </xf>
    <xf numFmtId="164" fontId="5" fillId="12" borderId="13" xfId="0" applyNumberFormat="1" applyFont="1" applyFill="1" applyBorder="1" applyAlignment="1" applyProtection="1">
      <alignment horizontal="center" vertical="center"/>
      <protection hidden="1"/>
    </xf>
    <xf numFmtId="164" fontId="5" fillId="12" borderId="7" xfId="0" applyNumberFormat="1" applyFont="1" applyFill="1" applyBorder="1" applyAlignment="1" applyProtection="1">
      <alignment horizontal="center" vertical="center"/>
      <protection hidden="1"/>
    </xf>
    <xf numFmtId="164" fontId="27" fillId="13" borderId="0" xfId="0" applyNumberFormat="1" applyFont="1" applyFill="1" applyBorder="1" applyAlignment="1" applyProtection="1">
      <alignment horizontal="center" vertical="center"/>
      <protection hidden="1"/>
    </xf>
    <xf numFmtId="0" fontId="36" fillId="6" borderId="0" xfId="0" applyFont="1" applyFill="1" applyBorder="1" applyAlignment="1" applyProtection="1">
      <alignment horizontal="left" vertical="center" wrapText="1"/>
      <protection hidden="1"/>
    </xf>
    <xf numFmtId="0" fontId="36" fillId="6" borderId="0" xfId="0" applyFont="1" applyFill="1" applyBorder="1" applyAlignment="1" applyProtection="1">
      <alignment horizontal="left" vertical="center"/>
      <protection hidden="1"/>
    </xf>
    <xf numFmtId="0" fontId="18" fillId="0" borderId="0" xfId="0" applyFont="1" applyFill="1" applyBorder="1" applyProtection="1"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" fontId="7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5" fillId="6" borderId="7" xfId="0" applyFont="1" applyFill="1" applyBorder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horizontal="left" vertical="center"/>
      <protection hidden="1"/>
    </xf>
    <xf numFmtId="0" fontId="40" fillId="6" borderId="0" xfId="0" applyFont="1" applyFill="1" applyAlignment="1" applyProtection="1">
      <alignment horizontal="right" vertical="center" wrapText="1"/>
      <protection hidden="1"/>
    </xf>
    <xf numFmtId="0" fontId="12" fillId="0" borderId="0" xfId="0" applyFont="1" applyProtection="1">
      <protection hidden="1"/>
    </xf>
    <xf numFmtId="0" fontId="5" fillId="6" borderId="11" xfId="0" applyFont="1" applyFill="1" applyBorder="1" applyAlignment="1" applyProtection="1">
      <alignment horizontal="right" vertical="center"/>
      <protection hidden="1"/>
    </xf>
    <xf numFmtId="1" fontId="5" fillId="6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6" borderId="0" xfId="0" applyNumberFormat="1" applyFont="1" applyFill="1" applyAlignment="1" applyProtection="1">
      <alignment vertical="center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5" fillId="6" borderId="7" xfId="0" applyFont="1" applyFill="1" applyBorder="1" applyAlignment="1" applyProtection="1">
      <alignment horizontal="right" vertical="center"/>
      <protection hidden="1"/>
    </xf>
    <xf numFmtId="0" fontId="41" fillId="9" borderId="0" xfId="0" applyFont="1" applyFill="1" applyAlignment="1" applyProtection="1">
      <alignment horizontal="center" vertical="center"/>
      <protection hidden="1"/>
    </xf>
    <xf numFmtId="0" fontId="41" fillId="9" borderId="0" xfId="0" applyFont="1" applyFill="1" applyAlignment="1" applyProtection="1">
      <alignment horizontal="center" vertical="center" wrapText="1"/>
      <protection hidden="1"/>
    </xf>
    <xf numFmtId="0" fontId="41" fillId="9" borderId="0" xfId="0" applyFont="1" applyFill="1" applyBorder="1" applyAlignment="1" applyProtection="1">
      <alignment horizontal="center" vertical="center"/>
      <protection hidden="1"/>
    </xf>
    <xf numFmtId="0" fontId="5" fillId="6" borderId="13" xfId="0" applyFont="1" applyFill="1" applyBorder="1" applyAlignment="1" applyProtection="1">
      <alignment horizontal="right" vertical="center"/>
      <protection hidden="1"/>
    </xf>
    <xf numFmtId="0" fontId="5" fillId="6" borderId="0" xfId="0" applyFont="1" applyFill="1" applyBorder="1" applyAlignment="1" applyProtection="1">
      <alignment horizontal="right" vertical="center"/>
      <protection hidden="1"/>
    </xf>
    <xf numFmtId="0" fontId="37" fillId="9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7" fillId="9" borderId="0" xfId="0" applyFont="1" applyFill="1" applyAlignment="1" applyProtection="1">
      <alignment horizontal="left" vertical="center"/>
      <protection hidden="1"/>
    </xf>
    <xf numFmtId="1" fontId="7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left" vertical="center"/>
      <protection locked="0" hidden="1"/>
    </xf>
    <xf numFmtId="0" fontId="24" fillId="2" borderId="16" xfId="0" applyFont="1" applyFill="1" applyBorder="1" applyAlignment="1" applyProtection="1">
      <alignment horizontal="left" vertical="center"/>
      <protection locked="0" hidden="1"/>
    </xf>
    <xf numFmtId="0" fontId="24" fillId="2" borderId="17" xfId="0" applyFont="1" applyFill="1" applyBorder="1" applyAlignment="1" applyProtection="1">
      <alignment horizontal="left" vertical="center"/>
      <protection locked="0" hidden="1"/>
    </xf>
    <xf numFmtId="0" fontId="6" fillId="6" borderId="13" xfId="0" applyFont="1" applyFill="1" applyBorder="1" applyAlignment="1" applyProtection="1">
      <alignment horizontal="center" vertical="center"/>
      <protection hidden="1"/>
    </xf>
    <xf numFmtId="0" fontId="41" fillId="9" borderId="0" xfId="0" applyFont="1" applyFill="1" applyBorder="1" applyAlignment="1" applyProtection="1">
      <alignment horizontal="center" vertical="center" wrapText="1"/>
      <protection hidden="1"/>
    </xf>
    <xf numFmtId="0" fontId="10" fillId="10" borderId="0" xfId="0" applyFont="1" applyFill="1" applyBorder="1" applyAlignment="1" applyProtection="1">
      <alignment horizontal="center" vertical="center"/>
      <protection hidden="1"/>
    </xf>
    <xf numFmtId="0" fontId="10" fillId="11" borderId="0" xfId="0" applyFont="1" applyFill="1" applyBorder="1" applyAlignment="1" applyProtection="1">
      <alignment horizontal="center" vertical="center"/>
      <protection hidden="1"/>
    </xf>
    <xf numFmtId="0" fontId="20" fillId="4" borderId="0" xfId="0" applyFont="1" applyFill="1" applyAlignment="1" applyProtection="1">
      <alignment horizontal="center" vertical="center"/>
      <protection hidden="1"/>
    </xf>
    <xf numFmtId="0" fontId="38" fillId="6" borderId="0" xfId="0" applyFont="1" applyFill="1" applyAlignment="1" applyProtection="1">
      <alignment horizontal="center" vertical="center"/>
      <protection hidden="1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1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theme="6" tint="0.39997558519241921"/>
        </patternFill>
      </fill>
    </dxf>
    <dxf>
      <font>
        <color theme="1"/>
      </font>
      <fill>
        <patternFill patternType="solid">
          <fgColor indexed="64"/>
          <bgColor theme="8" tint="0.79998168889431442"/>
        </patternFill>
      </fill>
    </dxf>
    <dxf>
      <font>
        <color theme="1"/>
      </font>
      <fill>
        <patternFill patternType="solid">
          <fgColor indexed="64"/>
          <bgColor theme="8" tint="0.79998168889431442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</dxf>
    <dxf>
      <font>
        <color theme="3" tint="0.39994506668294322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8DB033"/>
      <color rgb="FF0AB076"/>
      <color rgb="FF88FF22"/>
      <color rgb="FF0A93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600">
                <a:latin typeface="Trebuchet MS"/>
                <a:cs typeface="Trebuchet MS"/>
              </a:rPr>
              <a:t>Análise Comparativa dos Regimes de IVA</a:t>
            </a:r>
          </a:p>
        </c:rich>
      </c:tx>
      <c:layout>
        <c:manualLayout>
          <c:xMode val="edge"/>
          <c:yMode val="edge"/>
          <c:x val="0.374162187236092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29053641138273"/>
          <c:y val="0.234510703518453"/>
          <c:w val="0.965211978663691"/>
          <c:h val="0.661116299575596"/>
        </c:manualLayout>
      </c:layout>
      <c:barChart>
        <c:barDir val="col"/>
        <c:grouping val="clustered"/>
        <c:varyColors val="0"/>
        <c:ser>
          <c:idx val="0"/>
          <c:order val="0"/>
          <c:tx>
            <c:v>Regime Geral de IVA</c:v>
          </c:tx>
          <c:spPr>
            <a:solidFill>
              <a:srgbClr val="8DB033"/>
            </a:solidFill>
          </c:spPr>
          <c:invertIfNegative val="0"/>
          <c:cat>
            <c:strRef>
              <c:f>'Dados e Análise'!$D$81:$Q$81</c:f>
              <c:strCache>
                <c:ptCount val="14"/>
                <c:pt idx="0">
                  <c:v>1º Trim 2013</c:v>
                </c:pt>
                <c:pt idx="1">
                  <c:v>2º Trim 2013</c:v>
                </c:pt>
                <c:pt idx="2">
                  <c:v>3º Trim 2013</c:v>
                </c:pt>
                <c:pt idx="3">
                  <c:v>4º Trim 2013</c:v>
                </c:pt>
                <c:pt idx="4">
                  <c:v>1º Trim 2014</c:v>
                </c:pt>
                <c:pt idx="5">
                  <c:v>2º Trim 2014</c:v>
                </c:pt>
                <c:pt idx="6">
                  <c:v>3º Trim 2014</c:v>
                </c:pt>
                <c:pt idx="7">
                  <c:v>4º Trim 2014</c:v>
                </c:pt>
                <c:pt idx="8">
                  <c:v>1º Trim 2015</c:v>
                </c:pt>
                <c:pt idx="9">
                  <c:v>2º Trim 2015</c:v>
                </c:pt>
                <c:pt idx="10">
                  <c:v>3º Trim 2014</c:v>
                </c:pt>
                <c:pt idx="11">
                  <c:v>4º Trim 2015</c:v>
                </c:pt>
                <c:pt idx="12">
                  <c:v>1º Trim 2016</c:v>
                </c:pt>
                <c:pt idx="13">
                  <c:v>2º Trim 2016</c:v>
                </c:pt>
              </c:strCache>
            </c:strRef>
          </c:cat>
          <c:val>
            <c:numRef>
              <c:f>'Dados e Análise'!$D$89:$Q$89</c:f>
              <c:numCache>
                <c:formatCode>#\ ##0\ "€"</c:formatCode>
                <c:ptCount val="14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</c:numCache>
            </c:numRef>
          </c:val>
        </c:ser>
        <c:ser>
          <c:idx val="1"/>
          <c:order val="1"/>
          <c:tx>
            <c:v>Regime de IVA de Caixa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'Dados e Análise'!$D$81:$Q$81</c:f>
              <c:strCache>
                <c:ptCount val="14"/>
                <c:pt idx="0">
                  <c:v>1º Trim 2013</c:v>
                </c:pt>
                <c:pt idx="1">
                  <c:v>2º Trim 2013</c:v>
                </c:pt>
                <c:pt idx="2">
                  <c:v>3º Trim 2013</c:v>
                </c:pt>
                <c:pt idx="3">
                  <c:v>4º Trim 2013</c:v>
                </c:pt>
                <c:pt idx="4">
                  <c:v>1º Trim 2014</c:v>
                </c:pt>
                <c:pt idx="5">
                  <c:v>2º Trim 2014</c:v>
                </c:pt>
                <c:pt idx="6">
                  <c:v>3º Trim 2014</c:v>
                </c:pt>
                <c:pt idx="7">
                  <c:v>4º Trim 2014</c:v>
                </c:pt>
                <c:pt idx="8">
                  <c:v>1º Trim 2015</c:v>
                </c:pt>
                <c:pt idx="9">
                  <c:v>2º Trim 2015</c:v>
                </c:pt>
                <c:pt idx="10">
                  <c:v>3º Trim 2014</c:v>
                </c:pt>
                <c:pt idx="11">
                  <c:v>4º Trim 2015</c:v>
                </c:pt>
                <c:pt idx="12">
                  <c:v>1º Trim 2016</c:v>
                </c:pt>
                <c:pt idx="13">
                  <c:v>2º Trim 2016</c:v>
                </c:pt>
              </c:strCache>
            </c:strRef>
          </c:cat>
          <c:val>
            <c:numRef>
              <c:f>'Dados e Análise'!$D$97:$Q$97</c:f>
              <c:numCache>
                <c:formatCode>#\ ##0\ "€"</c:formatCode>
                <c:ptCount val="14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84344200"/>
        <c:axId val="2084353544"/>
      </c:barChart>
      <c:lineChart>
        <c:grouping val="standard"/>
        <c:varyColors val="0"/>
        <c:ser>
          <c:idx val="2"/>
          <c:order val="2"/>
          <c:tx>
            <c:v>Comparativo entre regimes</c:v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'Dados e Análise'!$D$81:$K$81</c:f>
              <c:strCache>
                <c:ptCount val="8"/>
                <c:pt idx="0">
                  <c:v>1º Trim 2013</c:v>
                </c:pt>
                <c:pt idx="1">
                  <c:v>2º Trim 2013</c:v>
                </c:pt>
                <c:pt idx="2">
                  <c:v>3º Trim 2013</c:v>
                </c:pt>
                <c:pt idx="3">
                  <c:v>4º Trim 2013</c:v>
                </c:pt>
                <c:pt idx="4">
                  <c:v>1º Trim 2014</c:v>
                </c:pt>
                <c:pt idx="5">
                  <c:v>2º Trim 2014</c:v>
                </c:pt>
                <c:pt idx="6">
                  <c:v>3º Trim 2014</c:v>
                </c:pt>
                <c:pt idx="7">
                  <c:v>4º Trim 2014</c:v>
                </c:pt>
              </c:strCache>
            </c:strRef>
          </c:cat>
          <c:val>
            <c:numRef>
              <c:f>'Dados e Análise'!$D$101:$Q$101</c:f>
              <c:numCache>
                <c:formatCode>#\ ##0\ "€"</c:formatCode>
                <c:ptCount val="14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344200"/>
        <c:axId val="2084353544"/>
      </c:lineChart>
      <c:catAx>
        <c:axId val="2084344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2084353544"/>
        <c:crosses val="autoZero"/>
        <c:auto val="1"/>
        <c:lblAlgn val="ctr"/>
        <c:lblOffset val="100"/>
        <c:noMultiLvlLbl val="0"/>
      </c:catAx>
      <c:valAx>
        <c:axId val="2084353544"/>
        <c:scaling>
          <c:orientation val="minMax"/>
        </c:scaling>
        <c:delete val="0"/>
        <c:axPos val="l"/>
        <c:majorGridlines/>
        <c:numFmt formatCode="#,##0\ &quot;€&quot;;[Red]\(#,##0&quot;€&quot;\)" sourceLinked="0"/>
        <c:majorTickMark val="none"/>
        <c:minorTickMark val="none"/>
        <c:tickLblPos val="nextTo"/>
        <c:crossAx val="2084344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9314216792784"/>
          <c:y val="0.111727201433309"/>
          <c:w val="0.30186800821396"/>
          <c:h val="0.0660976989531806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538370</xdr:colOff>
      <xdr:row>106</xdr:row>
      <xdr:rowOff>114300</xdr:rowOff>
    </xdr:from>
    <xdr:to>
      <xdr:col>17</xdr:col>
      <xdr:colOff>420095</xdr:colOff>
      <xdr:row>128</xdr:row>
      <xdr:rowOff>76198</xdr:rowOff>
    </xdr:to>
    <xdr:pic>
      <xdr:nvPicPr>
        <xdr:cNvPr id="6" name="Picture 5" descr="ESFERA OTOC MARCA DE AGUA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1196" y="28357996"/>
          <a:ext cx="4161073" cy="4517332"/>
        </a:xfrm>
        <a:prstGeom prst="rect">
          <a:avLst/>
        </a:prstGeom>
      </xdr:spPr>
    </xdr:pic>
    <xdr:clientData/>
  </xdr:twoCellAnchor>
  <xdr:twoCellAnchor editAs="oneCell">
    <xdr:from>
      <xdr:col>1</xdr:col>
      <xdr:colOff>449602</xdr:colOff>
      <xdr:row>106</xdr:row>
      <xdr:rowOff>114300</xdr:rowOff>
    </xdr:from>
    <xdr:to>
      <xdr:col>4</xdr:col>
      <xdr:colOff>400326</xdr:colOff>
      <xdr:row>128</xdr:row>
      <xdr:rowOff>76198</xdr:rowOff>
    </xdr:to>
    <xdr:pic>
      <xdr:nvPicPr>
        <xdr:cNvPr id="3" name="Picture 2" descr="ESFERA OTOC MARCA DE AGUA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276" y="28357996"/>
          <a:ext cx="4381920" cy="4517332"/>
        </a:xfrm>
        <a:prstGeom prst="rect">
          <a:avLst/>
        </a:prstGeom>
      </xdr:spPr>
    </xdr:pic>
    <xdr:clientData/>
  </xdr:twoCellAnchor>
  <xdr:twoCellAnchor editAs="oneCell">
    <xdr:from>
      <xdr:col>14</xdr:col>
      <xdr:colOff>727177</xdr:colOff>
      <xdr:row>4</xdr:row>
      <xdr:rowOff>88900</xdr:rowOff>
    </xdr:from>
    <xdr:to>
      <xdr:col>18</xdr:col>
      <xdr:colOff>12699</xdr:colOff>
      <xdr:row>5</xdr:row>
      <xdr:rowOff>534609</xdr:rowOff>
    </xdr:to>
    <xdr:pic>
      <xdr:nvPicPr>
        <xdr:cNvPr id="5" name="Picture 4" descr="HORIZONTAL_CORES_rgb_LOGO OTOC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8629" y="1082368"/>
          <a:ext cx="2440039" cy="1408451"/>
        </a:xfrm>
        <a:prstGeom prst="rect">
          <a:avLst/>
        </a:prstGeom>
      </xdr:spPr>
    </xdr:pic>
    <xdr:clientData/>
  </xdr:twoCellAnchor>
  <xdr:twoCellAnchor>
    <xdr:from>
      <xdr:col>1</xdr:col>
      <xdr:colOff>2137018</xdr:colOff>
      <xdr:row>106</xdr:row>
      <xdr:rowOff>111126</xdr:rowOff>
    </xdr:from>
    <xdr:to>
      <xdr:col>15</xdr:col>
      <xdr:colOff>495301</xdr:colOff>
      <xdr:row>128</xdr:row>
      <xdr:rowOff>85726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6"/>
  <sheetViews>
    <sheetView showGridLines="0" topLeftCell="A49" zoomScale="90" zoomScaleNormal="90" zoomScalePageLayoutView="90" workbookViewId="0">
      <selection activeCell="C70" sqref="C70"/>
    </sheetView>
  </sheetViews>
  <sheetFormatPr baseColWidth="10" defaultColWidth="8.5" defaultRowHeight="15" x14ac:dyDescent="0"/>
  <cols>
    <col min="1" max="1" width="2.6640625" style="24" customWidth="1"/>
    <col min="2" max="16384" width="8.5" style="24"/>
  </cols>
  <sheetData>
    <row r="2" spans="2:3" ht="20">
      <c r="B2" s="157" t="s">
        <v>33</v>
      </c>
    </row>
    <row r="4" spans="2:3">
      <c r="C4" s="24" t="s">
        <v>96</v>
      </c>
    </row>
    <row r="6" spans="2:3">
      <c r="B6" s="26" t="s">
        <v>13</v>
      </c>
    </row>
    <row r="7" spans="2:3">
      <c r="C7" s="24" t="s">
        <v>28</v>
      </c>
    </row>
    <row r="8" spans="2:3">
      <c r="C8" s="24" t="s">
        <v>29</v>
      </c>
    </row>
    <row r="9" spans="2:3">
      <c r="C9" s="24" t="s">
        <v>30</v>
      </c>
    </row>
    <row r="10" spans="2:3">
      <c r="C10" s="24" t="s">
        <v>31</v>
      </c>
    </row>
    <row r="12" spans="2:3">
      <c r="B12" s="26" t="s">
        <v>32</v>
      </c>
    </row>
    <row r="13" spans="2:3">
      <c r="C13" s="24" t="s">
        <v>35</v>
      </c>
    </row>
    <row r="15" spans="2:3">
      <c r="C15" s="24" t="s">
        <v>50</v>
      </c>
    </row>
    <row r="16" spans="2:3">
      <c r="C16" s="24" t="s">
        <v>34</v>
      </c>
    </row>
    <row r="17" spans="2:3">
      <c r="C17" s="24" t="s">
        <v>51</v>
      </c>
    </row>
    <row r="18" spans="2:3">
      <c r="C18" s="24" t="s">
        <v>92</v>
      </c>
    </row>
    <row r="19" spans="2:3">
      <c r="C19" s="24" t="s">
        <v>77</v>
      </c>
    </row>
    <row r="20" spans="2:3">
      <c r="C20" s="24" t="s">
        <v>78</v>
      </c>
    </row>
    <row r="21" spans="2:3">
      <c r="C21" s="24" t="s">
        <v>93</v>
      </c>
    </row>
    <row r="22" spans="2:3">
      <c r="C22" s="24" t="s">
        <v>79</v>
      </c>
    </row>
    <row r="24" spans="2:3">
      <c r="B24" s="26" t="s">
        <v>70</v>
      </c>
    </row>
    <row r="25" spans="2:3">
      <c r="C25" s="24" t="s">
        <v>81</v>
      </c>
    </row>
    <row r="26" spans="2:3">
      <c r="C26" s="24" t="s">
        <v>80</v>
      </c>
    </row>
    <row r="28" spans="2:3">
      <c r="C28" s="25" t="s">
        <v>38</v>
      </c>
    </row>
    <row r="29" spans="2:3">
      <c r="C29" s="24" t="s">
        <v>36</v>
      </c>
    </row>
    <row r="30" spans="2:3">
      <c r="C30" s="24" t="s">
        <v>37</v>
      </c>
    </row>
    <row r="32" spans="2:3">
      <c r="C32" s="24" t="s">
        <v>87</v>
      </c>
    </row>
    <row r="33" spans="2:3">
      <c r="C33" s="24" t="s">
        <v>83</v>
      </c>
    </row>
    <row r="35" spans="2:3">
      <c r="C35" s="24" t="s">
        <v>39</v>
      </c>
    </row>
    <row r="36" spans="2:3">
      <c r="C36" s="24" t="s">
        <v>40</v>
      </c>
    </row>
    <row r="37" spans="2:3">
      <c r="C37" s="24" t="s">
        <v>41</v>
      </c>
    </row>
    <row r="38" spans="2:3">
      <c r="B38" s="24" t="s">
        <v>42</v>
      </c>
      <c r="C38" s="24" t="s">
        <v>43</v>
      </c>
    </row>
    <row r="40" spans="2:3">
      <c r="C40" s="24" t="s">
        <v>86</v>
      </c>
    </row>
    <row r="41" spans="2:3">
      <c r="C41" s="24" t="s">
        <v>82</v>
      </c>
    </row>
    <row r="43" spans="2:3">
      <c r="B43" s="26" t="s">
        <v>44</v>
      </c>
    </row>
    <row r="44" spans="2:3">
      <c r="C44" s="24" t="s">
        <v>45</v>
      </c>
    </row>
    <row r="45" spans="2:3">
      <c r="C45" s="24" t="s">
        <v>46</v>
      </c>
    </row>
    <row r="47" spans="2:3">
      <c r="C47" s="24" t="s">
        <v>56</v>
      </c>
    </row>
    <row r="48" spans="2:3">
      <c r="C48" s="24" t="s">
        <v>55</v>
      </c>
    </row>
    <row r="49" spans="2:8">
      <c r="H49" s="24" t="s">
        <v>94</v>
      </c>
    </row>
    <row r="51" spans="2:8">
      <c r="C51" s="24" t="s">
        <v>85</v>
      </c>
    </row>
    <row r="52" spans="2:8">
      <c r="C52" s="24" t="s">
        <v>84</v>
      </c>
    </row>
    <row r="54" spans="2:8">
      <c r="B54" s="26" t="s">
        <v>52</v>
      </c>
    </row>
    <row r="55" spans="2:8">
      <c r="C55" s="24" t="s">
        <v>53</v>
      </c>
    </row>
    <row r="56" spans="2:8">
      <c r="C56" s="24" t="s">
        <v>54</v>
      </c>
    </row>
    <row r="57" spans="2:8">
      <c r="C57" s="24" t="s">
        <v>57</v>
      </c>
    </row>
    <row r="58" spans="2:8">
      <c r="C58" s="24" t="s">
        <v>58</v>
      </c>
    </row>
    <row r="59" spans="2:8">
      <c r="C59" s="24" t="s">
        <v>59</v>
      </c>
    </row>
    <row r="61" spans="2:8">
      <c r="B61" s="26" t="s">
        <v>60</v>
      </c>
    </row>
    <row r="62" spans="2:8">
      <c r="C62" s="24" t="s">
        <v>61</v>
      </c>
    </row>
    <row r="63" spans="2:8">
      <c r="C63" s="24" t="s">
        <v>62</v>
      </c>
    </row>
    <row r="64" spans="2:8">
      <c r="C64" s="24" t="s">
        <v>65</v>
      </c>
    </row>
    <row r="65" spans="2:3">
      <c r="C65" s="24" t="s">
        <v>66</v>
      </c>
    </row>
    <row r="66" spans="2:3">
      <c r="C66" s="24" t="s">
        <v>99</v>
      </c>
    </row>
    <row r="67" spans="2:3">
      <c r="C67" s="24" t="s">
        <v>63</v>
      </c>
    </row>
    <row r="68" spans="2:3">
      <c r="C68" s="24" t="s">
        <v>64</v>
      </c>
    </row>
    <row r="69" spans="2:3">
      <c r="C69" s="24" t="s">
        <v>100</v>
      </c>
    </row>
    <row r="71" spans="2:3">
      <c r="B71" s="27" t="s">
        <v>88</v>
      </c>
    </row>
    <row r="72" spans="2:3">
      <c r="B72" s="24" t="s">
        <v>67</v>
      </c>
    </row>
    <row r="73" spans="2:3">
      <c r="B73" s="14" t="s">
        <v>7</v>
      </c>
    </row>
    <row r="74" spans="2:3">
      <c r="B74" s="14" t="s">
        <v>68</v>
      </c>
    </row>
    <row r="75" spans="2:3">
      <c r="B75" s="14" t="s">
        <v>69</v>
      </c>
    </row>
    <row r="76" spans="2:3">
      <c r="B76" s="24" t="s">
        <v>89</v>
      </c>
    </row>
  </sheetData>
  <sheetProtection password="CA09" sheet="1" objects="1" scenario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3"/>
  <sheetViews>
    <sheetView showGridLines="0" showRowColHeaders="0" tabSelected="1" topLeftCell="A7" zoomScaleSheetLayoutView="57" workbookViewId="0">
      <selection activeCell="E15" sqref="E15"/>
    </sheetView>
  </sheetViews>
  <sheetFormatPr baseColWidth="10" defaultColWidth="8.5" defaultRowHeight="13" x14ac:dyDescent="0"/>
  <cols>
    <col min="1" max="1" width="3.5" style="14" customWidth="1"/>
    <col min="2" max="2" width="40.83203125" style="14" bestFit="1" customWidth="1"/>
    <col min="3" max="7" width="12.83203125" style="14" customWidth="1"/>
    <col min="8" max="8" width="14" style="14" customWidth="1"/>
    <col min="9" max="16" width="12.83203125" style="14" customWidth="1"/>
    <col min="17" max="17" width="12.83203125" style="14" bestFit="1" customWidth="1"/>
    <col min="18" max="16384" width="8.5" style="14"/>
  </cols>
  <sheetData>
    <row r="2" spans="1:18" ht="15" customHeight="1">
      <c r="A2" s="14" t="s">
        <v>42</v>
      </c>
      <c r="B2" s="168" t="s">
        <v>110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18"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</row>
    <row r="4" spans="1:18" ht="31" customHeight="1"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</row>
    <row r="5" spans="1:18" ht="76" customHeight="1"/>
    <row r="6" spans="1:18" ht="47" customHeight="1">
      <c r="B6" s="169" t="s">
        <v>91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</row>
    <row r="7" spans="1:18" ht="42" customHeight="1">
      <c r="B7" s="163" t="s">
        <v>101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18" ht="14" thickBot="1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 s="134" customFormat="1" ht="25" customHeight="1" thickBot="1">
      <c r="B9" s="135"/>
      <c r="C9" s="136" t="s">
        <v>12</v>
      </c>
      <c r="D9" s="172"/>
      <c r="E9" s="173"/>
      <c r="F9" s="173"/>
      <c r="G9" s="173"/>
      <c r="H9" s="173"/>
      <c r="I9" s="174"/>
      <c r="J9" s="39"/>
      <c r="K9" s="39"/>
      <c r="L9" s="39"/>
      <c r="M9" s="135"/>
      <c r="N9" s="135"/>
      <c r="O9" s="135"/>
      <c r="P9" s="135"/>
      <c r="Q9" s="135"/>
      <c r="R9" s="135"/>
    </row>
    <row r="10" spans="1:18" ht="18" thickBot="1">
      <c r="B10" s="45"/>
      <c r="C10" s="55"/>
      <c r="D10" s="61"/>
      <c r="E10" s="45"/>
      <c r="F10" s="61"/>
      <c r="G10" s="62"/>
      <c r="H10" s="58"/>
      <c r="I10" s="58"/>
      <c r="J10" s="58"/>
      <c r="K10" s="58"/>
      <c r="L10" s="58"/>
      <c r="M10" s="45"/>
      <c r="N10" s="45"/>
      <c r="O10" s="45"/>
      <c r="P10" s="45"/>
      <c r="Q10" s="45"/>
      <c r="R10" s="45"/>
    </row>
    <row r="11" spans="1:18" s="134" customFormat="1" ht="25" customHeight="1" thickBot="1">
      <c r="B11" s="135"/>
      <c r="C11" s="137" t="s">
        <v>11</v>
      </c>
      <c r="D11" s="138">
        <v>2013</v>
      </c>
      <c r="E11" s="135"/>
      <c r="F11" s="40"/>
      <c r="G11" s="40"/>
      <c r="H11" s="40"/>
      <c r="I11" s="40"/>
      <c r="J11" s="40"/>
      <c r="K11" s="40"/>
      <c r="L11" s="40"/>
      <c r="M11" s="135"/>
      <c r="N11" s="135"/>
      <c r="O11" s="135"/>
      <c r="P11" s="135"/>
      <c r="Q11" s="135"/>
      <c r="R11" s="135"/>
    </row>
    <row r="12" spans="1:18" ht="14" thickBot="1">
      <c r="B12" s="56"/>
      <c r="C12" s="56"/>
      <c r="D12" s="56"/>
      <c r="E12" s="45"/>
      <c r="F12" s="56"/>
      <c r="G12" s="60"/>
      <c r="H12" s="60"/>
      <c r="I12" s="60"/>
      <c r="J12" s="60"/>
      <c r="K12" s="60"/>
      <c r="L12" s="60"/>
      <c r="M12" s="45"/>
      <c r="N12" s="45"/>
      <c r="O12" s="45"/>
      <c r="P12" s="45"/>
      <c r="Q12" s="45"/>
      <c r="R12" s="45"/>
    </row>
    <row r="13" spans="1:18" s="134" customFormat="1" ht="25" customHeight="1" thickBot="1">
      <c r="B13" s="135"/>
      <c r="C13" s="80" t="s">
        <v>1</v>
      </c>
      <c r="D13" s="139" t="s">
        <v>73</v>
      </c>
      <c r="E13" s="135"/>
      <c r="F13" s="63"/>
      <c r="G13" s="135"/>
      <c r="H13" s="38"/>
      <c r="I13" s="39"/>
      <c r="J13" s="40"/>
      <c r="K13" s="40"/>
      <c r="L13" s="40"/>
      <c r="M13" s="135"/>
      <c r="N13" s="135"/>
      <c r="O13" s="135"/>
      <c r="P13" s="135"/>
      <c r="Q13" s="135"/>
      <c r="R13" s="135"/>
    </row>
    <row r="14" spans="1:18" ht="14" thickBot="1">
      <c r="B14" s="45"/>
      <c r="C14" s="57"/>
      <c r="D14" s="64"/>
      <c r="E14" s="45"/>
      <c r="F14" s="63"/>
      <c r="G14" s="45"/>
      <c r="H14" s="38"/>
      <c r="I14" s="39"/>
      <c r="J14" s="40"/>
      <c r="K14" s="40"/>
      <c r="L14" s="40"/>
      <c r="M14" s="45"/>
      <c r="N14" s="45"/>
      <c r="O14" s="45"/>
      <c r="P14" s="45"/>
      <c r="Q14" s="45"/>
      <c r="R14" s="45"/>
    </row>
    <row r="15" spans="1:18" s="134" customFormat="1" ht="25" customHeight="1" thickBot="1">
      <c r="B15" s="135"/>
      <c r="C15" s="80" t="s">
        <v>9</v>
      </c>
      <c r="D15" s="138" t="s">
        <v>8</v>
      </c>
      <c r="E15" s="135"/>
      <c r="F15" s="63"/>
      <c r="G15" s="135"/>
      <c r="H15" s="38"/>
      <c r="I15" s="39"/>
      <c r="J15" s="40"/>
      <c r="K15" s="40"/>
      <c r="L15" s="40"/>
      <c r="M15" s="135"/>
      <c r="N15" s="135"/>
      <c r="O15" s="135"/>
      <c r="P15" s="135"/>
      <c r="Q15" s="135"/>
      <c r="R15" s="135"/>
    </row>
    <row r="16" spans="1:18">
      <c r="B16" s="36"/>
      <c r="C16" s="36"/>
      <c r="D16" s="36"/>
      <c r="E16" s="36"/>
      <c r="F16" s="36"/>
      <c r="G16" s="37"/>
      <c r="H16" s="38"/>
      <c r="I16" s="39"/>
      <c r="J16" s="40"/>
      <c r="K16" s="40"/>
      <c r="L16" s="40"/>
      <c r="M16" s="45"/>
      <c r="N16" s="45"/>
      <c r="O16" s="45"/>
      <c r="P16" s="45"/>
      <c r="Q16" s="45"/>
      <c r="R16" s="45"/>
    </row>
    <row r="17" spans="2:18">
      <c r="B17" s="151"/>
      <c r="C17" s="151"/>
      <c r="D17" s="151"/>
      <c r="E17" s="151"/>
      <c r="F17" s="151"/>
      <c r="G17" s="15"/>
      <c r="H17" s="2"/>
      <c r="I17" s="3"/>
      <c r="J17" s="4"/>
      <c r="K17" s="4"/>
      <c r="L17" s="4"/>
    </row>
    <row r="18" spans="2:18" ht="42" customHeight="1">
      <c r="B18" s="164" t="s">
        <v>102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2:18">
      <c r="B19" s="45"/>
      <c r="C19" s="36"/>
      <c r="D19" s="36"/>
      <c r="E19" s="36"/>
      <c r="F19" s="36"/>
      <c r="G19" s="37"/>
      <c r="H19" s="38"/>
      <c r="I19" s="39"/>
      <c r="J19" s="40"/>
      <c r="K19" s="40"/>
      <c r="L19" s="40"/>
      <c r="M19" s="45"/>
      <c r="N19" s="45"/>
      <c r="O19" s="45"/>
      <c r="P19" s="45"/>
      <c r="Q19" s="45"/>
      <c r="R19" s="45"/>
    </row>
    <row r="20" spans="2:18" ht="44.25" customHeight="1">
      <c r="B20" s="122" t="s">
        <v>72</v>
      </c>
      <c r="C20" s="119" t="s">
        <v>18</v>
      </c>
      <c r="D20" s="153" t="str">
        <f>IF($D$13="Mensal","Estimativa Mensal Inicial (Tx. N)","Estimativa Trimestral Inicial (Tx. N)")</f>
        <v>Estimativa Trimestral Inicial (Tx. N)</v>
      </c>
      <c r="E20" s="120" t="str">
        <f>IF($D$13="Trimestral","Evolução Trimestral (%)","Evolução Mensal (%)")</f>
        <v>Evolução Trimestral (%)</v>
      </c>
      <c r="F20" s="153" t="str">
        <f>IF($D$13="Mensal","Estimativa Mensal Inicial (Tx. I.)","Estimativa Trimestral Inicial (Tx. I.)")</f>
        <v>Estimativa Trimestral Inicial (Tx. I.)</v>
      </c>
      <c r="G20" s="120" t="str">
        <f>IF($D$13="Trimestral","Evolução Trimestral (%)","Evolução Mensal (%)")</f>
        <v>Evolução Trimestral (%)</v>
      </c>
      <c r="H20" s="153" t="str">
        <f>IF($D$13="Mensal","Estimativa Mensal Inicial (Tx. R.)","Estimativa Trimestral Inicial (Tx. R.)")</f>
        <v>Estimativa Trimestral Inicial (Tx. R.)</v>
      </c>
      <c r="I20" s="120" t="str">
        <f>IF($D$13="Trimestral","Evolução Trimestral (%)","Evolução Mensal (%)")</f>
        <v>Evolução Trimestral (%)</v>
      </c>
      <c r="J20" s="45"/>
      <c r="K20" s="45"/>
      <c r="L20" s="171"/>
      <c r="M20" s="171"/>
      <c r="N20" s="171"/>
      <c r="O20" s="51"/>
      <c r="P20" s="45"/>
      <c r="Q20" s="45"/>
      <c r="R20" s="45"/>
    </row>
    <row r="21" spans="2:18" s="16" customFormat="1" ht="11.25" customHeight="1" thickBot="1">
      <c r="B21" s="36"/>
      <c r="C21" s="31"/>
      <c r="D21" s="31" t="s">
        <v>49</v>
      </c>
      <c r="E21" s="32"/>
      <c r="F21" s="31" t="s">
        <v>49</v>
      </c>
      <c r="G21" s="32"/>
      <c r="H21" s="31" t="s">
        <v>49</v>
      </c>
      <c r="I21" s="32"/>
      <c r="J21" s="45"/>
      <c r="K21" s="45"/>
      <c r="L21" s="152"/>
      <c r="M21" s="152"/>
      <c r="N21" s="152"/>
      <c r="O21" s="51"/>
      <c r="P21" s="45"/>
      <c r="Q21" s="45"/>
      <c r="R21" s="45"/>
    </row>
    <row r="22" spans="2:18" ht="23.25" customHeight="1" thickBot="1">
      <c r="B22" s="121" t="s">
        <v>24</v>
      </c>
      <c r="C22" s="117">
        <f>SUM(D43:O43)</f>
        <v>0</v>
      </c>
      <c r="D22" s="140"/>
      <c r="E22" s="141"/>
      <c r="F22" s="140"/>
      <c r="G22" s="141"/>
      <c r="H22" s="140"/>
      <c r="I22" s="141"/>
      <c r="J22" s="45"/>
      <c r="K22" s="45"/>
      <c r="L22" s="52"/>
      <c r="M22" s="53"/>
      <c r="N22" s="53"/>
      <c r="O22" s="54"/>
      <c r="P22" s="45"/>
      <c r="Q22" s="45"/>
      <c r="R22" s="45"/>
    </row>
    <row r="23" spans="2:18" ht="23.25" customHeight="1" thickBot="1">
      <c r="B23" s="121" t="s">
        <v>23</v>
      </c>
      <c r="C23" s="118">
        <f>SUM(D49:O49)</f>
        <v>0</v>
      </c>
      <c r="D23" s="140"/>
      <c r="E23" s="141"/>
      <c r="F23" s="140"/>
      <c r="G23" s="141"/>
      <c r="H23" s="140"/>
      <c r="I23" s="141"/>
      <c r="J23" s="45"/>
      <c r="K23" s="45"/>
      <c r="L23" s="52"/>
      <c r="M23" s="53"/>
      <c r="N23" s="53"/>
      <c r="O23" s="54"/>
      <c r="P23" s="45"/>
      <c r="Q23" s="45"/>
      <c r="R23" s="45"/>
    </row>
    <row r="24" spans="2:18" ht="23.25" customHeight="1" thickBot="1">
      <c r="B24" s="121" t="s">
        <v>25</v>
      </c>
      <c r="C24" s="118">
        <f>SUM(D53:O53)</f>
        <v>0</v>
      </c>
      <c r="D24" s="140"/>
      <c r="E24" s="141"/>
      <c r="F24" s="140"/>
      <c r="G24" s="141"/>
      <c r="H24" s="140"/>
      <c r="I24" s="141"/>
      <c r="J24" s="45"/>
      <c r="K24" s="45"/>
      <c r="L24" s="52"/>
      <c r="M24" s="53"/>
      <c r="N24" s="53"/>
      <c r="O24" s="54"/>
      <c r="P24" s="45"/>
      <c r="Q24" s="45"/>
      <c r="R24" s="45"/>
    </row>
    <row r="25" spans="2:18">
      <c r="B25" s="36"/>
      <c r="C25" s="36"/>
      <c r="D25" s="155" t="str">
        <f>IF(SUM(D43:O43)&gt;500000,"Verifique os dados! O total do volume de negócios é superior a 500.000 euros!","")</f>
        <v/>
      </c>
      <c r="E25" s="37"/>
      <c r="F25" s="38"/>
      <c r="G25" s="50"/>
      <c r="H25" s="50"/>
      <c r="I25" s="50"/>
      <c r="J25" s="45"/>
      <c r="K25" s="45"/>
      <c r="L25" s="40"/>
      <c r="M25" s="45"/>
      <c r="N25" s="45"/>
      <c r="O25" s="45"/>
      <c r="P25" s="45"/>
      <c r="Q25" s="45"/>
      <c r="R25" s="45"/>
    </row>
    <row r="26" spans="2:18">
      <c r="B26" s="11"/>
      <c r="D26" s="17"/>
      <c r="E26" s="18"/>
      <c r="F26" s="19"/>
      <c r="G26" s="20"/>
      <c r="H26" s="2"/>
      <c r="I26" s="3"/>
      <c r="J26" s="4"/>
      <c r="K26" s="4"/>
      <c r="L26" s="4"/>
    </row>
    <row r="27" spans="2:18" ht="42" customHeight="1">
      <c r="B27" s="163" t="s">
        <v>103</v>
      </c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</row>
    <row r="28" spans="2:18" ht="21" customHeight="1" thickBot="1">
      <c r="B28" s="45"/>
      <c r="C28" s="33"/>
      <c r="D28" s="34"/>
      <c r="E28" s="35"/>
      <c r="F28" s="36"/>
      <c r="G28" s="37"/>
      <c r="H28" s="38"/>
      <c r="I28" s="39"/>
      <c r="J28" s="40"/>
      <c r="K28" s="40"/>
      <c r="L28" s="40"/>
      <c r="M28" s="45"/>
      <c r="N28" s="45"/>
      <c r="O28" s="45"/>
      <c r="P28" s="45"/>
      <c r="Q28" s="45"/>
      <c r="R28" s="45"/>
    </row>
    <row r="29" spans="2:18" ht="41.25" customHeight="1" thickBot="1">
      <c r="B29" s="121" t="s">
        <v>97</v>
      </c>
      <c r="C29" s="140"/>
      <c r="D29" s="34" t="s">
        <v>48</v>
      </c>
      <c r="E29" s="140"/>
      <c r="F29" s="38"/>
      <c r="G29" s="38"/>
      <c r="H29" s="38"/>
      <c r="I29" s="39"/>
      <c r="J29" s="40"/>
      <c r="K29" s="40"/>
      <c r="L29" s="40"/>
      <c r="M29" s="45"/>
      <c r="N29" s="45"/>
      <c r="O29" s="45"/>
      <c r="P29" s="45"/>
      <c r="Q29" s="45"/>
      <c r="R29" s="45"/>
    </row>
    <row r="30" spans="2:18" ht="16.5" customHeight="1">
      <c r="B30" s="121"/>
      <c r="C30" s="123"/>
      <c r="D30" s="121"/>
      <c r="E30" s="123"/>
      <c r="F30" s="34"/>
      <c r="G30" s="35"/>
      <c r="H30" s="38"/>
      <c r="I30" s="39"/>
      <c r="J30" s="40"/>
      <c r="K30" s="40"/>
      <c r="L30" s="40"/>
      <c r="M30" s="45"/>
      <c r="N30" s="45"/>
      <c r="O30" s="45"/>
      <c r="P30" s="45"/>
      <c r="Q30" s="45"/>
      <c r="R30" s="45"/>
    </row>
    <row r="31" spans="2:18" ht="33" customHeight="1">
      <c r="B31" s="121" t="s">
        <v>74</v>
      </c>
      <c r="C31" s="44">
        <f>C29+C23-E29</f>
        <v>0</v>
      </c>
      <c r="D31" s="159" t="s">
        <v>26</v>
      </c>
      <c r="E31" s="43" t="str">
        <f>IF(C31=0,"ND",(E29+C29/2)/C31*365)</f>
        <v>ND</v>
      </c>
      <c r="F31" s="38"/>
      <c r="G31" s="38"/>
      <c r="H31" s="38"/>
      <c r="I31" s="39"/>
      <c r="J31" s="40"/>
      <c r="K31" s="40"/>
      <c r="L31" s="40"/>
      <c r="M31" s="45"/>
      <c r="N31" s="45"/>
      <c r="O31" s="45"/>
      <c r="P31" s="45"/>
      <c r="Q31" s="45"/>
      <c r="R31" s="45"/>
    </row>
    <row r="32" spans="2:18" ht="33" customHeight="1">
      <c r="B32" s="41"/>
      <c r="C32" s="41"/>
      <c r="D32" s="41"/>
      <c r="E32" s="41"/>
      <c r="F32" s="38"/>
      <c r="G32" s="38"/>
      <c r="H32" s="38"/>
      <c r="I32" s="39"/>
      <c r="J32" s="40"/>
      <c r="K32" s="40"/>
      <c r="L32" s="40"/>
      <c r="M32" s="45"/>
      <c r="N32" s="45"/>
      <c r="O32" s="45"/>
      <c r="P32" s="45"/>
      <c r="Q32" s="45"/>
      <c r="R32" s="45"/>
    </row>
    <row r="33" spans="2:18" s="16" customFormat="1" ht="33" customHeight="1">
      <c r="B33" s="156" t="s">
        <v>71</v>
      </c>
      <c r="C33" s="79">
        <f>C22-C31-C24</f>
        <v>0</v>
      </c>
      <c r="D33" s="46"/>
      <c r="E33" s="47"/>
      <c r="F33" s="36"/>
      <c r="G33" s="37"/>
      <c r="H33" s="38"/>
      <c r="I33" s="39"/>
      <c r="J33" s="40"/>
      <c r="K33" s="40"/>
      <c r="L33" s="40"/>
      <c r="M33" s="45"/>
      <c r="N33" s="45"/>
      <c r="O33" s="45"/>
      <c r="P33" s="45"/>
      <c r="Q33" s="45"/>
      <c r="R33" s="45"/>
    </row>
    <row r="34" spans="2:18">
      <c r="B34" s="36"/>
      <c r="C34" s="49"/>
      <c r="D34" s="48"/>
      <c r="E34" s="36"/>
      <c r="F34" s="36"/>
      <c r="G34" s="37"/>
      <c r="H34" s="38"/>
      <c r="I34" s="39"/>
      <c r="J34" s="40"/>
      <c r="K34" s="40"/>
      <c r="L34" s="40"/>
      <c r="M34" s="45"/>
      <c r="N34" s="45"/>
      <c r="O34" s="45"/>
      <c r="P34" s="45"/>
      <c r="Q34" s="45"/>
      <c r="R34" s="45"/>
    </row>
    <row r="35" spans="2:18" ht="12" customHeight="1">
      <c r="B35" s="12"/>
      <c r="C35" s="12"/>
      <c r="D35" s="150">
        <f>IF('Dados e Análise'!$D$13="Mensal",30,IF('Dados e Análise'!$D$13="Trimestral",90,0))</f>
        <v>90</v>
      </c>
      <c r="E35" s="150">
        <f>IF('Dados e Análise'!$D$13="Mensal",60,IF('Dados e Análise'!$D$13="Trimestral",180,0))</f>
        <v>180</v>
      </c>
      <c r="F35" s="150">
        <f>IF('Dados e Análise'!$D$13="Mensal",90,IF('Dados e Análise'!$D$13="Trimestral",270,0))</f>
        <v>270</v>
      </c>
      <c r="G35" s="150">
        <f>IF('Dados e Análise'!$D$13="Mensal",120,IF('Dados e Análise'!$D$13="Trimestral",360,0))</f>
        <v>360</v>
      </c>
      <c r="H35" s="150">
        <f>IF('Dados e Análise'!$D$13="Mensal",150,IF('Dados e Análise'!$D$13="Trimestral",450,0))</f>
        <v>450</v>
      </c>
      <c r="I35" s="150">
        <f>IF('Dados e Análise'!$D$13="Mensal",180,IF('Dados e Análise'!$D$13="Trimestral",540,0))</f>
        <v>540</v>
      </c>
      <c r="J35" s="150">
        <f>IF('Dados e Análise'!$D$13="Mensal",210,IF('Dados e Análise'!$D$13="Trimestral",630,0))</f>
        <v>630</v>
      </c>
      <c r="K35" s="150">
        <f>IF('Dados e Análise'!$D$13="Mensal",240,IF('Dados e Análise'!$D$13="Trimestral",720,0))</f>
        <v>720</v>
      </c>
      <c r="L35" s="150">
        <f>IF('Dados e Análise'!$D$13="Mensal",270,IF('Dados e Análise'!$D$13="Trimestral",810,0))</f>
        <v>810</v>
      </c>
      <c r="M35" s="150">
        <f>IF('Dados e Análise'!$D$13="Mensal",300,IF('Dados e Análise'!$D$13="Trimestral",900,0))</f>
        <v>900</v>
      </c>
      <c r="N35" s="150">
        <f>IF('Dados e Análise'!$D$13="Mensal",330,IF('Dados e Análise'!$D$13="Trimestral",990,0))</f>
        <v>990</v>
      </c>
      <c r="O35" s="150">
        <f>IF('Dados e Análise'!$D$13="Mensal",360,IF('Dados e Análise'!$D$13="Trimestral",1080,0))</f>
        <v>1080</v>
      </c>
    </row>
    <row r="36" spans="2:18" ht="42" customHeight="1">
      <c r="B36" s="165" t="s">
        <v>104</v>
      </c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</row>
    <row r="37" spans="2:18" ht="13" customHeight="1"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</row>
    <row r="38" spans="2:18">
      <c r="B38" s="45"/>
      <c r="C38" s="72" t="s">
        <v>10</v>
      </c>
      <c r="D38" s="72" t="str">
        <f>IF('Dados e Análise'!$D$13="Mensal","Jan "&amp;$D$11,IF('Dados e Análise'!$D$13="Trimestral","1º Trim "&amp;$D$11))</f>
        <v>1º Trim 2013</v>
      </c>
      <c r="E38" s="72" t="str">
        <f>IF('Dados e Análise'!$D$13="Mensal","Fev "&amp;$D$11,IF('Dados e Análise'!$D$13="Trimestral","2º Trim "&amp;$D$11))</f>
        <v>2º Trim 2013</v>
      </c>
      <c r="F38" s="72" t="str">
        <f>IF('Dados e Análise'!$D$13="Mensal","Mar "&amp;$D$11,IF('Dados e Análise'!$D$13="Trimestral","3º Trim "&amp;$D$11))</f>
        <v>3º Trim 2013</v>
      </c>
      <c r="G38" s="72" t="str">
        <f>IF('Dados e Análise'!$D$13="Mensal","Abr "&amp;$D$11,IF('Dados e Análise'!$D$13="Trimestral","4º Trim "&amp;$D$11))</f>
        <v>4º Trim 2013</v>
      </c>
      <c r="H38" s="72" t="str">
        <f>IF('Dados e Análise'!$D$13="Mensal","Mai "&amp;$D$11,IF('Dados e Análise'!$D$13="Trimestral","1º Trim "&amp;$D$11+1))</f>
        <v>1º Trim 2014</v>
      </c>
      <c r="I38" s="72" t="str">
        <f>IF('Dados e Análise'!$D$13="Mensal","Jun "&amp;$D$11,IF('Dados e Análise'!$D$13="Trimestral","2º Trim "&amp;$D$11+1))</f>
        <v>2º Trim 2014</v>
      </c>
      <c r="J38" s="72" t="str">
        <f>IF('Dados e Análise'!$D$13="Mensal","Jul "&amp;$D$11,IF('Dados e Análise'!$D$13="Trimestral","3º Trim "&amp;$D$11+1))</f>
        <v>3º Trim 2014</v>
      </c>
      <c r="K38" s="72" t="str">
        <f>IF('Dados e Análise'!$D$13="Mensal","Ago "&amp;$D$11,IF('Dados e Análise'!$D$13="Trimestral","4º Trim "&amp;$D$11+1))</f>
        <v>4º Trim 2014</v>
      </c>
      <c r="L38" s="72" t="str">
        <f>IF('Dados e Análise'!$D$13="Mensal","Set "&amp;$D$11,IF('Dados e Análise'!$D$13="Trimestral","1º Trim "&amp;$D$11+2))</f>
        <v>1º Trim 2015</v>
      </c>
      <c r="M38" s="72" t="str">
        <f>IF('Dados e Análise'!$D$13="Mensal","Out "&amp;$D$11,IF('Dados e Análise'!$D$13="Trimestral","2º Trim "&amp;$D$11+2))</f>
        <v>2º Trim 2015</v>
      </c>
      <c r="N38" s="72" t="str">
        <f>IF('Dados e Análise'!$D$13="Mensal","Nov "&amp;$D$11,IF('Dados e Análise'!$D$13="Trimestral","3º Trim "&amp;$D$11+1))</f>
        <v>3º Trim 2014</v>
      </c>
      <c r="O38" s="72" t="str">
        <f>IF('Dados e Análise'!$D$13="Mensal","Dez "&amp;$D$11,IF('Dados e Análise'!$D$13="Trimestral","4º Trim "&amp;$D$11+2))</f>
        <v>4º Trim 2015</v>
      </c>
      <c r="P38" s="45"/>
      <c r="Q38" s="45"/>
      <c r="R38" s="45"/>
    </row>
    <row r="39" spans="2:18">
      <c r="B39" s="65" t="s">
        <v>19</v>
      </c>
      <c r="C39" s="45"/>
      <c r="D39" s="69"/>
      <c r="E39" s="69"/>
      <c r="F39" s="69"/>
      <c r="G39" s="69"/>
      <c r="H39" s="69"/>
      <c r="I39" s="69"/>
      <c r="J39" s="70"/>
      <c r="K39" s="70"/>
      <c r="L39" s="45"/>
      <c r="M39" s="45"/>
      <c r="N39" s="45"/>
      <c r="O39" s="45"/>
      <c r="P39" s="45"/>
      <c r="Q39" s="45"/>
      <c r="R39" s="45"/>
    </row>
    <row r="40" spans="2:18">
      <c r="B40" s="57" t="s">
        <v>22</v>
      </c>
      <c r="C40" s="74">
        <f>IF($D$15="Continente",0.23,IF($D$15="Açores",0.16,IF($D$15="Madeira",0.22,0)))</f>
        <v>0.23</v>
      </c>
      <c r="D40" s="42">
        <f>D22</f>
        <v>0</v>
      </c>
      <c r="E40" s="42">
        <f>D40*(1+$E$22)</f>
        <v>0</v>
      </c>
      <c r="F40" s="42">
        <f>E40*(1+$E$22)</f>
        <v>0</v>
      </c>
      <c r="G40" s="42">
        <f>F40*(1+$E$22)</f>
        <v>0</v>
      </c>
      <c r="H40" s="42">
        <f t="shared" ref="H40:O40" si="0">IF($D$13="Mensal",G40*(1+$E$22),0)</f>
        <v>0</v>
      </c>
      <c r="I40" s="42">
        <f t="shared" si="0"/>
        <v>0</v>
      </c>
      <c r="J40" s="42">
        <f t="shared" si="0"/>
        <v>0</v>
      </c>
      <c r="K40" s="42">
        <f t="shared" si="0"/>
        <v>0</v>
      </c>
      <c r="L40" s="42">
        <f t="shared" si="0"/>
        <v>0</v>
      </c>
      <c r="M40" s="42">
        <f t="shared" si="0"/>
        <v>0</v>
      </c>
      <c r="N40" s="42">
        <f t="shared" si="0"/>
        <v>0</v>
      </c>
      <c r="O40" s="42">
        <f t="shared" si="0"/>
        <v>0</v>
      </c>
      <c r="P40" s="45"/>
      <c r="Q40" s="45"/>
      <c r="R40" s="45"/>
    </row>
    <row r="41" spans="2:18">
      <c r="B41" s="57" t="s">
        <v>22</v>
      </c>
      <c r="C41" s="74">
        <f>IF($D$15="Continente",0.13,IF($D$15="Açores",0.09,IF($D$15="Madeira",0.12,0)))</f>
        <v>0.13</v>
      </c>
      <c r="D41" s="42">
        <f>F22</f>
        <v>0</v>
      </c>
      <c r="E41" s="42">
        <f>D41*(1+$G$22)</f>
        <v>0</v>
      </c>
      <c r="F41" s="42">
        <f>E41*(1+$G$22)</f>
        <v>0</v>
      </c>
      <c r="G41" s="42">
        <f>F41*(1+$G$22)</f>
        <v>0</v>
      </c>
      <c r="H41" s="42">
        <f t="shared" ref="H41:O41" si="1">IF($D$13="Mensal",G41*(1+$G$22),0)</f>
        <v>0</v>
      </c>
      <c r="I41" s="42">
        <f t="shared" si="1"/>
        <v>0</v>
      </c>
      <c r="J41" s="42">
        <f t="shared" si="1"/>
        <v>0</v>
      </c>
      <c r="K41" s="42">
        <f t="shared" si="1"/>
        <v>0</v>
      </c>
      <c r="L41" s="42">
        <f t="shared" si="1"/>
        <v>0</v>
      </c>
      <c r="M41" s="42">
        <f t="shared" si="1"/>
        <v>0</v>
      </c>
      <c r="N41" s="42">
        <f t="shared" si="1"/>
        <v>0</v>
      </c>
      <c r="O41" s="42">
        <f t="shared" si="1"/>
        <v>0</v>
      </c>
      <c r="P41" s="45"/>
      <c r="Q41" s="45"/>
      <c r="R41" s="45"/>
    </row>
    <row r="42" spans="2:18">
      <c r="B42" s="154" t="s">
        <v>22</v>
      </c>
      <c r="C42" s="75">
        <f>IF($D$15="Continente",0.06,IF($D$15="Açores",0.04,IF($D$15="Madeira",0.05,0)))</f>
        <v>0.06</v>
      </c>
      <c r="D42" s="76">
        <f>H22</f>
        <v>0</v>
      </c>
      <c r="E42" s="76">
        <f>D42*(1+$I$22)</f>
        <v>0</v>
      </c>
      <c r="F42" s="76">
        <f>E42*(1+$I$22)</f>
        <v>0</v>
      </c>
      <c r="G42" s="76">
        <f>F42*(1+$I$22)</f>
        <v>0</v>
      </c>
      <c r="H42" s="76">
        <f t="shared" ref="H42:O42" si="2">IF($D$13="Mensal",G42*(1+$I$22),0)</f>
        <v>0</v>
      </c>
      <c r="I42" s="76">
        <f t="shared" si="2"/>
        <v>0</v>
      </c>
      <c r="J42" s="76">
        <f t="shared" si="2"/>
        <v>0</v>
      </c>
      <c r="K42" s="76">
        <f t="shared" si="2"/>
        <v>0</v>
      </c>
      <c r="L42" s="76">
        <f t="shared" si="2"/>
        <v>0</v>
      </c>
      <c r="M42" s="76">
        <f t="shared" si="2"/>
        <v>0</v>
      </c>
      <c r="N42" s="76">
        <f t="shared" si="2"/>
        <v>0</v>
      </c>
      <c r="O42" s="76">
        <f t="shared" si="2"/>
        <v>0</v>
      </c>
      <c r="P42" s="45"/>
      <c r="Q42" s="45"/>
      <c r="R42" s="45"/>
    </row>
    <row r="43" spans="2:18">
      <c r="B43" s="57" t="s">
        <v>15</v>
      </c>
      <c r="C43" s="68"/>
      <c r="D43" s="73">
        <f>SUM(D40:D42)</f>
        <v>0</v>
      </c>
      <c r="E43" s="73">
        <f t="shared" ref="E43:O43" si="3">SUM(E40:E42)</f>
        <v>0</v>
      </c>
      <c r="F43" s="73">
        <f t="shared" si="3"/>
        <v>0</v>
      </c>
      <c r="G43" s="73">
        <f t="shared" si="3"/>
        <v>0</v>
      </c>
      <c r="H43" s="73">
        <f t="shared" si="3"/>
        <v>0</v>
      </c>
      <c r="I43" s="73">
        <f t="shared" si="3"/>
        <v>0</v>
      </c>
      <c r="J43" s="73">
        <f t="shared" si="3"/>
        <v>0</v>
      </c>
      <c r="K43" s="73">
        <f t="shared" si="3"/>
        <v>0</v>
      </c>
      <c r="L43" s="73">
        <f t="shared" si="3"/>
        <v>0</v>
      </c>
      <c r="M43" s="73">
        <f t="shared" si="3"/>
        <v>0</v>
      </c>
      <c r="N43" s="73">
        <f t="shared" si="3"/>
        <v>0</v>
      </c>
      <c r="O43" s="73">
        <f t="shared" si="3"/>
        <v>0</v>
      </c>
      <c r="P43" s="45"/>
      <c r="Q43" s="45"/>
      <c r="R43" s="45"/>
    </row>
    <row r="44" spans="2:18">
      <c r="B44" s="66"/>
      <c r="C44" s="68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45"/>
      <c r="Q44" s="45"/>
      <c r="R44" s="45"/>
    </row>
    <row r="45" spans="2:18">
      <c r="B45" s="65" t="s">
        <v>20</v>
      </c>
      <c r="C45" s="68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45"/>
      <c r="Q45" s="45"/>
      <c r="R45" s="45"/>
    </row>
    <row r="46" spans="2:18">
      <c r="B46" s="57" t="s">
        <v>23</v>
      </c>
      <c r="C46" s="74">
        <f>IF($D$15="Continente",0.23,IF($D$15="Açores",0.16,IF($D$15="Madeira",0.22,0)))</f>
        <v>0.23</v>
      </c>
      <c r="D46" s="42">
        <f>D23</f>
        <v>0</v>
      </c>
      <c r="E46" s="42">
        <f>D46*(1+$E$23)</f>
        <v>0</v>
      </c>
      <c r="F46" s="42">
        <f>E46*(1+$E$23)</f>
        <v>0</v>
      </c>
      <c r="G46" s="42">
        <f>F46*(1+$E$23)</f>
        <v>0</v>
      </c>
      <c r="H46" s="42">
        <f t="shared" ref="H46:O46" si="4">IF($D$13="Trimestral",0,G46*(1+$E$23))</f>
        <v>0</v>
      </c>
      <c r="I46" s="42">
        <f t="shared" si="4"/>
        <v>0</v>
      </c>
      <c r="J46" s="42">
        <f t="shared" si="4"/>
        <v>0</v>
      </c>
      <c r="K46" s="42">
        <f t="shared" si="4"/>
        <v>0</v>
      </c>
      <c r="L46" s="42">
        <f t="shared" si="4"/>
        <v>0</v>
      </c>
      <c r="M46" s="42">
        <f t="shared" si="4"/>
        <v>0</v>
      </c>
      <c r="N46" s="42">
        <f t="shared" si="4"/>
        <v>0</v>
      </c>
      <c r="O46" s="42">
        <f t="shared" si="4"/>
        <v>0</v>
      </c>
      <c r="P46" s="45"/>
      <c r="Q46" s="45"/>
      <c r="R46" s="45"/>
    </row>
    <row r="47" spans="2:18">
      <c r="B47" s="57" t="s">
        <v>23</v>
      </c>
      <c r="C47" s="74">
        <f>IF($D$15="Continente",0.13,IF($D$15="Açores",0.09,IF($D$15="Madeira",0.12,0)))</f>
        <v>0.13</v>
      </c>
      <c r="D47" s="42">
        <f>F23</f>
        <v>0</v>
      </c>
      <c r="E47" s="42">
        <f>D47*(1+$G$23)</f>
        <v>0</v>
      </c>
      <c r="F47" s="42">
        <f>E47*(1+$G$23)</f>
        <v>0</v>
      </c>
      <c r="G47" s="42">
        <f>F47*(1+$G$23)</f>
        <v>0</v>
      </c>
      <c r="H47" s="42">
        <f t="shared" ref="H47:O47" si="5">IF($D$13="Trimestral",0,G47*(1+$G$23))</f>
        <v>0</v>
      </c>
      <c r="I47" s="42">
        <f t="shared" si="5"/>
        <v>0</v>
      </c>
      <c r="J47" s="42">
        <f t="shared" si="5"/>
        <v>0</v>
      </c>
      <c r="K47" s="42">
        <f t="shared" si="5"/>
        <v>0</v>
      </c>
      <c r="L47" s="42">
        <f t="shared" si="5"/>
        <v>0</v>
      </c>
      <c r="M47" s="42">
        <f t="shared" si="5"/>
        <v>0</v>
      </c>
      <c r="N47" s="42">
        <f t="shared" si="5"/>
        <v>0</v>
      </c>
      <c r="O47" s="42">
        <f t="shared" si="5"/>
        <v>0</v>
      </c>
      <c r="P47" s="45"/>
      <c r="Q47" s="45"/>
      <c r="R47" s="45"/>
    </row>
    <row r="48" spans="2:18">
      <c r="B48" s="154" t="s">
        <v>23</v>
      </c>
      <c r="C48" s="75">
        <f>IF($D$15="Continente",0.06,IF($D$15="Açores",0.04,IF($D$15="Madeira",0.05,0)))</f>
        <v>0.06</v>
      </c>
      <c r="D48" s="76">
        <f>H23</f>
        <v>0</v>
      </c>
      <c r="E48" s="76">
        <f>D48*(1+$I$23)</f>
        <v>0</v>
      </c>
      <c r="F48" s="76">
        <f>E48*(1+$I$23)</f>
        <v>0</v>
      </c>
      <c r="G48" s="76">
        <f>F48*(1+$I$23)</f>
        <v>0</v>
      </c>
      <c r="H48" s="76">
        <f t="shared" ref="H48:O48" si="6">IF($D$13="Trimestral",0,G48*(1+$I$23))</f>
        <v>0</v>
      </c>
      <c r="I48" s="76">
        <f t="shared" si="6"/>
        <v>0</v>
      </c>
      <c r="J48" s="76">
        <f t="shared" si="6"/>
        <v>0</v>
      </c>
      <c r="K48" s="76">
        <f t="shared" si="6"/>
        <v>0</v>
      </c>
      <c r="L48" s="76">
        <f t="shared" si="6"/>
        <v>0</v>
      </c>
      <c r="M48" s="76">
        <f t="shared" si="6"/>
        <v>0</v>
      </c>
      <c r="N48" s="76">
        <f t="shared" si="6"/>
        <v>0</v>
      </c>
      <c r="O48" s="76">
        <f t="shared" si="6"/>
        <v>0</v>
      </c>
      <c r="P48" s="45"/>
      <c r="Q48" s="45"/>
      <c r="R48" s="45"/>
    </row>
    <row r="49" spans="2:18">
      <c r="B49" s="57" t="s">
        <v>15</v>
      </c>
      <c r="C49" s="68"/>
      <c r="D49" s="73">
        <f>SUM(D46:D48)</f>
        <v>0</v>
      </c>
      <c r="E49" s="73">
        <f t="shared" ref="E49:O49" si="7">SUM(E46:E48)</f>
        <v>0</v>
      </c>
      <c r="F49" s="73">
        <f t="shared" si="7"/>
        <v>0</v>
      </c>
      <c r="G49" s="73">
        <f t="shared" si="7"/>
        <v>0</v>
      </c>
      <c r="H49" s="73">
        <f t="shared" si="7"/>
        <v>0</v>
      </c>
      <c r="I49" s="73">
        <f t="shared" si="7"/>
        <v>0</v>
      </c>
      <c r="J49" s="73">
        <f t="shared" si="7"/>
        <v>0</v>
      </c>
      <c r="K49" s="73">
        <f t="shared" si="7"/>
        <v>0</v>
      </c>
      <c r="L49" s="73">
        <f t="shared" si="7"/>
        <v>0</v>
      </c>
      <c r="M49" s="73">
        <f t="shared" si="7"/>
        <v>0</v>
      </c>
      <c r="N49" s="73">
        <f t="shared" si="7"/>
        <v>0</v>
      </c>
      <c r="O49" s="73">
        <f t="shared" si="7"/>
        <v>0</v>
      </c>
      <c r="P49" s="45"/>
      <c r="Q49" s="45"/>
      <c r="R49" s="45"/>
    </row>
    <row r="50" spans="2:18">
      <c r="B50" s="57" t="s">
        <v>14</v>
      </c>
      <c r="C50" s="74">
        <f>IF($D$15="Continente",0.23,IF($D$15="Açores",0.16,IF($D$15="Madeira",0.22,0)))</f>
        <v>0.23</v>
      </c>
      <c r="D50" s="42">
        <f>D24</f>
        <v>0</v>
      </c>
      <c r="E50" s="42">
        <f>D50*(1+$E$24)</f>
        <v>0</v>
      </c>
      <c r="F50" s="42">
        <f>E50*(1+$E$24)</f>
        <v>0</v>
      </c>
      <c r="G50" s="42">
        <f>F50*(1+$E$24)</f>
        <v>0</v>
      </c>
      <c r="H50" s="42">
        <f t="shared" ref="H50:O50" si="8">IF($D$13="Mensal",G50*(1+$E$24),0)</f>
        <v>0</v>
      </c>
      <c r="I50" s="42">
        <f t="shared" si="8"/>
        <v>0</v>
      </c>
      <c r="J50" s="42">
        <f t="shared" si="8"/>
        <v>0</v>
      </c>
      <c r="K50" s="42">
        <f t="shared" si="8"/>
        <v>0</v>
      </c>
      <c r="L50" s="42">
        <f t="shared" si="8"/>
        <v>0</v>
      </c>
      <c r="M50" s="42">
        <f t="shared" si="8"/>
        <v>0</v>
      </c>
      <c r="N50" s="42">
        <f t="shared" si="8"/>
        <v>0</v>
      </c>
      <c r="O50" s="42">
        <f t="shared" si="8"/>
        <v>0</v>
      </c>
      <c r="P50" s="45"/>
      <c r="Q50" s="45"/>
      <c r="R50" s="45"/>
    </row>
    <row r="51" spans="2:18">
      <c r="B51" s="57" t="s">
        <v>14</v>
      </c>
      <c r="C51" s="74">
        <f>IF($D$15="Continente",0.13,IF($D$15="Açores",0.09,IF($D$15="Madeira",0.12,0)))</f>
        <v>0.13</v>
      </c>
      <c r="D51" s="42">
        <f>F24</f>
        <v>0</v>
      </c>
      <c r="E51" s="42">
        <f>D51*(1+$G$24)</f>
        <v>0</v>
      </c>
      <c r="F51" s="42">
        <f>E51*(1+$G$24)</f>
        <v>0</v>
      </c>
      <c r="G51" s="42">
        <f>F51*(1+$G$24)</f>
        <v>0</v>
      </c>
      <c r="H51" s="42">
        <f t="shared" ref="H51:O51" si="9">IF($D$13="Mensal",G51*(1+$G$24),0)</f>
        <v>0</v>
      </c>
      <c r="I51" s="42">
        <f t="shared" si="9"/>
        <v>0</v>
      </c>
      <c r="J51" s="42">
        <f t="shared" si="9"/>
        <v>0</v>
      </c>
      <c r="K51" s="42">
        <f t="shared" si="9"/>
        <v>0</v>
      </c>
      <c r="L51" s="42">
        <f t="shared" si="9"/>
        <v>0</v>
      </c>
      <c r="M51" s="42">
        <f t="shared" si="9"/>
        <v>0</v>
      </c>
      <c r="N51" s="42">
        <f t="shared" si="9"/>
        <v>0</v>
      </c>
      <c r="O51" s="42">
        <f t="shared" si="9"/>
        <v>0</v>
      </c>
      <c r="P51" s="45"/>
      <c r="Q51" s="45"/>
      <c r="R51" s="45"/>
    </row>
    <row r="52" spans="2:18">
      <c r="B52" s="158" t="s">
        <v>14</v>
      </c>
      <c r="C52" s="77">
        <f>IF($D$15="Continente",0.06,IF($D$15="Açores",0.04,IF($D$15="Madeira",0.05,0)))</f>
        <v>0.06</v>
      </c>
      <c r="D52" s="78">
        <f>H24</f>
        <v>0</v>
      </c>
      <c r="E52" s="78">
        <f>D52*(1+$I$24)</f>
        <v>0</v>
      </c>
      <c r="F52" s="78">
        <f>E52*(1+$I$24)</f>
        <v>0</v>
      </c>
      <c r="G52" s="78">
        <f>F52*(1+$I$24)</f>
        <v>0</v>
      </c>
      <c r="H52" s="78">
        <f t="shared" ref="H52:O52" si="10">IF($D$13="Mensal",G52*(1+$I$24),0)</f>
        <v>0</v>
      </c>
      <c r="I52" s="78">
        <f t="shared" si="10"/>
        <v>0</v>
      </c>
      <c r="J52" s="78">
        <f t="shared" si="10"/>
        <v>0</v>
      </c>
      <c r="K52" s="78">
        <f t="shared" si="10"/>
        <v>0</v>
      </c>
      <c r="L52" s="78">
        <f t="shared" si="10"/>
        <v>0</v>
      </c>
      <c r="M52" s="78">
        <f t="shared" si="10"/>
        <v>0</v>
      </c>
      <c r="N52" s="78">
        <f t="shared" si="10"/>
        <v>0</v>
      </c>
      <c r="O52" s="78">
        <f t="shared" si="10"/>
        <v>0</v>
      </c>
      <c r="P52" s="45"/>
      <c r="Q52" s="45"/>
      <c r="R52" s="45"/>
    </row>
    <row r="53" spans="2:18">
      <c r="B53" s="57" t="s">
        <v>15</v>
      </c>
      <c r="C53" s="67"/>
      <c r="D53" s="73">
        <f>SUM(D50:D52)</f>
        <v>0</v>
      </c>
      <c r="E53" s="73">
        <f t="shared" ref="E53:O53" si="11">SUM(E50:E52)</f>
        <v>0</v>
      </c>
      <c r="F53" s="73">
        <f t="shared" si="11"/>
        <v>0</v>
      </c>
      <c r="G53" s="73">
        <f t="shared" si="11"/>
        <v>0</v>
      </c>
      <c r="H53" s="73">
        <f t="shared" si="11"/>
        <v>0</v>
      </c>
      <c r="I53" s="73">
        <f t="shared" si="11"/>
        <v>0</v>
      </c>
      <c r="J53" s="73">
        <f t="shared" si="11"/>
        <v>0</v>
      </c>
      <c r="K53" s="73">
        <f t="shared" si="11"/>
        <v>0</v>
      </c>
      <c r="L53" s="73">
        <f t="shared" si="11"/>
        <v>0</v>
      </c>
      <c r="M53" s="73">
        <f t="shared" si="11"/>
        <v>0</v>
      </c>
      <c r="N53" s="73">
        <f t="shared" si="11"/>
        <v>0</v>
      </c>
      <c r="O53" s="73">
        <f t="shared" si="11"/>
        <v>0</v>
      </c>
      <c r="P53" s="45"/>
      <c r="Q53" s="45"/>
      <c r="R53" s="45"/>
    </row>
    <row r="54" spans="2:18">
      <c r="B54" s="63"/>
      <c r="C54" s="67"/>
      <c r="D54" s="71"/>
      <c r="E54" s="71"/>
      <c r="F54" s="71"/>
      <c r="G54" s="71"/>
      <c r="H54" s="71"/>
      <c r="I54" s="71"/>
      <c r="J54" s="71"/>
      <c r="K54" s="71"/>
      <c r="L54" s="45"/>
      <c r="M54" s="45"/>
      <c r="N54" s="45"/>
      <c r="O54" s="45"/>
      <c r="P54" s="45"/>
      <c r="Q54" s="45"/>
      <c r="R54" s="45"/>
    </row>
    <row r="55" spans="2:18">
      <c r="B55" s="63"/>
      <c r="C55" s="67"/>
      <c r="D55" s="71"/>
      <c r="E55" s="71"/>
      <c r="F55" s="71"/>
      <c r="G55" s="71"/>
      <c r="H55" s="71"/>
      <c r="I55" s="71"/>
      <c r="J55" s="71"/>
      <c r="K55" s="71"/>
      <c r="L55" s="45"/>
      <c r="M55" s="45"/>
      <c r="N55" s="45"/>
      <c r="O55" s="45"/>
      <c r="P55" s="45"/>
      <c r="Q55" s="45"/>
      <c r="R55" s="45"/>
    </row>
    <row r="56" spans="2:18">
      <c r="B56" s="1"/>
      <c r="C56" s="5"/>
      <c r="D56" s="6"/>
      <c r="E56" s="6"/>
      <c r="F56" s="6"/>
      <c r="G56" s="6"/>
      <c r="H56" s="6"/>
      <c r="I56" s="6"/>
      <c r="J56" s="6"/>
      <c r="K56" s="6"/>
    </row>
    <row r="57" spans="2:18" ht="42" customHeight="1">
      <c r="B57" s="165" t="s">
        <v>105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</row>
    <row r="58" spans="2:18">
      <c r="B58" s="45"/>
      <c r="C58" s="67"/>
      <c r="D58" s="71"/>
      <c r="E58" s="71"/>
      <c r="F58" s="71"/>
      <c r="G58" s="71"/>
      <c r="H58" s="71"/>
      <c r="I58" s="71"/>
      <c r="J58" s="71"/>
      <c r="K58" s="71"/>
      <c r="L58" s="45"/>
      <c r="M58" s="45"/>
      <c r="N58" s="45"/>
      <c r="O58" s="45"/>
      <c r="P58" s="45"/>
      <c r="Q58" s="45"/>
      <c r="R58" s="45"/>
    </row>
    <row r="59" spans="2:18" ht="14" thickBot="1">
      <c r="B59" s="63"/>
      <c r="C59" s="67"/>
      <c r="D59" s="71"/>
      <c r="E59" s="71"/>
      <c r="F59" s="71"/>
      <c r="G59" s="71"/>
      <c r="H59" s="71"/>
      <c r="I59" s="71"/>
      <c r="J59" s="71"/>
      <c r="K59" s="71"/>
      <c r="L59" s="45"/>
      <c r="M59" s="45"/>
      <c r="N59" s="45"/>
      <c r="O59" s="45"/>
      <c r="P59" s="45"/>
      <c r="Q59" s="45"/>
      <c r="R59" s="45"/>
    </row>
    <row r="60" spans="2:18" ht="38" customHeight="1" thickBot="1">
      <c r="B60" s="45"/>
      <c r="C60" s="84"/>
      <c r="D60" s="84"/>
      <c r="E60" s="80" t="s">
        <v>4</v>
      </c>
      <c r="F60" s="142"/>
      <c r="G60" s="84" t="s">
        <v>47</v>
      </c>
      <c r="H60" s="160" t="str">
        <f>IF(F60&gt;365,"Atenção! A simulação não permite a análise da liquidação de IVA de faturas recebidas a mais de 12 meses!","")</f>
        <v/>
      </c>
      <c r="I60" s="39"/>
      <c r="J60" s="40"/>
      <c r="K60" s="40"/>
      <c r="L60" s="40"/>
      <c r="M60" s="45"/>
      <c r="N60" s="45"/>
      <c r="O60" s="45"/>
      <c r="P60" s="45"/>
      <c r="Q60" s="45"/>
      <c r="R60" s="45"/>
    </row>
    <row r="61" spans="2:18" ht="15" customHeight="1" thickBot="1">
      <c r="B61" s="81"/>
      <c r="C61" s="81"/>
      <c r="D61" s="81"/>
      <c r="E61" s="81"/>
      <c r="F61" s="83"/>
      <c r="G61" s="81"/>
      <c r="H61" s="38"/>
      <c r="I61" s="39"/>
      <c r="J61" s="40"/>
      <c r="K61" s="40"/>
      <c r="L61" s="40"/>
      <c r="M61" s="45"/>
      <c r="N61" s="45"/>
      <c r="O61" s="45"/>
      <c r="P61" s="45"/>
      <c r="Q61" s="45"/>
      <c r="R61" s="45"/>
    </row>
    <row r="62" spans="2:18" ht="38" customHeight="1" thickBot="1">
      <c r="B62" s="45"/>
      <c r="C62" s="81"/>
      <c r="D62" s="81"/>
      <c r="E62" s="85" t="s">
        <v>5</v>
      </c>
      <c r="F62" s="142"/>
      <c r="G62" s="84" t="s">
        <v>47</v>
      </c>
      <c r="H62" s="161" t="str">
        <f>IF(F62&gt;365,"Atenção! A simulação não permite a análise da dedução de IVA de faturas pagas a mais de 12 meses!","")</f>
        <v/>
      </c>
      <c r="I62" s="39"/>
      <c r="J62" s="40"/>
      <c r="K62" s="40"/>
      <c r="L62" s="40"/>
      <c r="M62" s="45"/>
      <c r="N62" s="45"/>
      <c r="O62" s="45"/>
      <c r="P62" s="45"/>
      <c r="Q62" s="45"/>
      <c r="R62" s="45"/>
    </row>
    <row r="63" spans="2:18" ht="15" customHeight="1">
      <c r="B63" s="82"/>
      <c r="C63" s="81"/>
      <c r="D63" s="81"/>
      <c r="E63" s="83"/>
      <c r="F63" s="81"/>
      <c r="G63" s="45"/>
      <c r="H63" s="38"/>
      <c r="I63" s="39"/>
      <c r="J63" s="40"/>
      <c r="K63" s="40"/>
      <c r="L63" s="40"/>
      <c r="M63" s="45"/>
      <c r="N63" s="45"/>
      <c r="O63" s="45"/>
      <c r="P63" s="45"/>
      <c r="Q63" s="45"/>
      <c r="R63" s="45"/>
    </row>
    <row r="65" spans="2:18" ht="42" customHeight="1">
      <c r="B65" s="176" t="s">
        <v>106</v>
      </c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</row>
    <row r="66" spans="2:18" ht="13" customHeight="1"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</row>
    <row r="67" spans="2:18">
      <c r="B67" s="45"/>
      <c r="C67" s="72" t="s">
        <v>10</v>
      </c>
      <c r="D67" s="72" t="str">
        <f>IF('Dados e Análise'!$D$13="Mensal","Jan "&amp;$D$11,IF('Dados e Análise'!$D$13="Trimestral","1º Trim "&amp;$D$11))</f>
        <v>1º Trim 2013</v>
      </c>
      <c r="E67" s="72" t="str">
        <f>IF('Dados e Análise'!$D$13="Mensal","Fev "&amp;$D$11,IF('Dados e Análise'!$D$13="Trimestral","2º Trim "&amp;$D$11))</f>
        <v>2º Trim 2013</v>
      </c>
      <c r="F67" s="72" t="str">
        <f>IF('Dados e Análise'!$D$13="Mensal","Mar "&amp;$D$11,IF('Dados e Análise'!$D$13="Trimestral","3º Trim "&amp;$D$11))</f>
        <v>3º Trim 2013</v>
      </c>
      <c r="G67" s="72" t="str">
        <f>IF('Dados e Análise'!$D$13="Mensal","Abr "&amp;$D$11,IF('Dados e Análise'!$D$13="Trimestral","4º Trim "&amp;$D$11))</f>
        <v>4º Trim 2013</v>
      </c>
      <c r="H67" s="72" t="str">
        <f>IF('Dados e Análise'!$D$13="Mensal","Mai "&amp;$D$11,IF('Dados e Análise'!$D$13="Trimestral","1º Trim "&amp;$D$11+1))</f>
        <v>1º Trim 2014</v>
      </c>
      <c r="I67" s="72" t="str">
        <f>IF('Dados e Análise'!$D$13="Mensal","Jun "&amp;$D$11,IF('Dados e Análise'!$D$13="Trimestral","2º Trim "&amp;$D$11+1))</f>
        <v>2º Trim 2014</v>
      </c>
      <c r="J67" s="72" t="str">
        <f>IF('Dados e Análise'!$D$13="Mensal","Jul "&amp;$D$11,IF('Dados e Análise'!$D$13="Trimestral","3º Trim "&amp;$D$11+1))</f>
        <v>3º Trim 2014</v>
      </c>
      <c r="K67" s="93" t="str">
        <f>IF('Dados e Análise'!$D$13="Mensal","Ago "&amp;$D$11,IF('Dados e Análise'!$D$13="Trimestral","4º Trim "&amp;$D$11+1))</f>
        <v>4º Trim 2014</v>
      </c>
      <c r="L67" s="93" t="str">
        <f>IF('Dados e Análise'!$D$13="Mensal","Set "&amp;$D$11,IF('Dados e Análise'!$D$13="Trimestral","1º Trim "&amp;$D$11+2))</f>
        <v>1º Trim 2015</v>
      </c>
      <c r="M67" s="93" t="str">
        <f>IF('Dados e Análise'!$D$13="Mensal","Out "&amp;$D$11,IF('Dados e Análise'!$D$13="Trimestral","2º Trim "&amp;$D$11+2))</f>
        <v>2º Trim 2015</v>
      </c>
      <c r="N67" s="93" t="str">
        <f>IF('Dados e Análise'!$D$13="Mensal","Nov "&amp;$D$11,IF('Dados e Análise'!$D$13="Trimestral","3º Trim "&amp;$D$11+1))</f>
        <v>3º Trim 2014</v>
      </c>
      <c r="O67" s="93" t="str">
        <f>IF('Dados e Análise'!$D$13="Mensal","Dez "&amp;$D$11,IF('Dados e Análise'!$D$13="Trimestral","4º Trim "&amp;$D$11+2))</f>
        <v>4º Trim 2015</v>
      </c>
      <c r="P67" s="45"/>
      <c r="Q67" s="45"/>
      <c r="R67" s="45"/>
    </row>
    <row r="68" spans="2:18" s="16" customFormat="1">
      <c r="B68" s="86"/>
      <c r="C68" s="67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45"/>
      <c r="Q68" s="45"/>
      <c r="R68" s="45"/>
    </row>
    <row r="69" spans="2:18">
      <c r="B69" s="57" t="s">
        <v>16</v>
      </c>
      <c r="C69" s="74">
        <f>IF($D$15="Continente",0.23,IF($D$15="Açores",0.16,IF($D$15="Madeira",0.22,0)))</f>
        <v>0.23</v>
      </c>
      <c r="D69" s="42">
        <f>IF($F$60&gt;$D$35,0,(($D$35-$F$60)/$D$35)*D40*(1+$C40))</f>
        <v>0</v>
      </c>
      <c r="E69" s="42">
        <f>IF($F$60&gt;$E$35,0,IF($F$60&gt;$D$35,(($E$35-$F$60)/$D$35)*D40*(1+$C40),($F$60/$D$35)*D40*(1+$C40)+(($D$35-$F$60)/$D$35)*E40*(1+$C40)))</f>
        <v>0</v>
      </c>
      <c r="F69" s="42">
        <f>IF($F$60&gt;$F$35,0,IF($F$60&lt;$D$35,0,IF($F$60&gt;$E$35,(($F$35-$F$60)/$D$35)*D40*(1+C40),(($F$60-$D$35)/$D$35)*D40*(1+C40))))+IF($F$60&gt;$E$35,0,IF($F$60&gt;$D$35,(($E$35-$F$60)/$D$35)*E40*(1+$C40),(($D$35-$F$60)/$D$35)*F40*(1+$C40)+($F$60/$D$35)*E40*(1+$C40)))</f>
        <v>0</v>
      </c>
      <c r="G69" s="42">
        <f>IF($F$60&gt;$G$35,0,IF($F$60&lt;$E$35,0,IF($F$60&gt;$F$35,(($G$35-$F$60)/$D$35)*D40*(1+C40),(($F$60-$E$35)/$D$35)*D40*(1+C40))))+IF($F$60&gt;$F$35,0,IF($F$60&lt;$D$35,0,IF($F$60&gt;$E$35,(($F$35-$F$60)/$D$35)*E40*(1+C40),(($F$60-$D$35)/$D$35)*E40*(1+C40))))+IF($F$60&gt;$E$35,0,IF($F$60&gt;$D$35,(($E$35-$F$60)/$D$35)*F40*(1+$C40),(($D$35-$F$60)/$D$35)*G40*(1+$C40)+($F$60/$D$35)*F40*(1+$C40)))</f>
        <v>0</v>
      </c>
      <c r="H69" s="42">
        <f>IF($F$60&gt;$H$35,0,IF($F$60&lt;$F$35,0,IF($F$60&gt;$G$35,(($H$35-$F$60)/$D$35)*D40*(1+C40),(($F$60-$F$35)/$D$35)*D40*(1+C40))))+IF($F$60&gt;$G$35,0,IF($F$60&lt;$E$35,0,IF($F$60&gt;$F$35,(($G$35-$F$60)/$D$35)*E40*(1+C40),(($F$60-$E$35)/$D$35)*E40*(1+C40))))+IF($F$60&gt;$F$35,0,IF($F$60&lt;$D$35,0,IF($F$60&gt;$E$35,(($F$35-$F$60)/$D$35)*F40*(1+C40),(($F$60-$D$35)/$D$35)*F40*(1+C40))))+IF($F$60&gt;$E$35,0,IF($F$60&gt;$D$35,(($E$35-$F$60)/$D$35)*G40*(1+$C40),(($D$35-$F$60)/$D$35)*H40*(1+$C40)+($F$60/$D$35)*G40*(1+$C40)))</f>
        <v>0</v>
      </c>
      <c r="I69" s="42">
        <f>IF($F$60&gt;$I$35,0,IF($F$60&lt;$G$35,0,IF($F$60&gt;$H$35,(($I$35-$F$60)/$D$35)*D40*(1+$C40),(($F$60-$G$35)/$D$35)*D40*(1+$C40))))+IF($F$60&gt;$H$35,0,IF($F$60&lt;$F$35,0,IF($F$60&gt;$G$35,(($H$35-$F$60)/$D$35)*E40*(1+$C40),(($F$60-$F$35)/$D$35)*E40*(1+$C40))))+IF($F$60&gt;$G$35,0,IF($F$60&lt;$E$35,0,IF($F$60&gt;$F$35,(($G$35-$F$60)/$D$35)*F40*(1+$C40),(($F$60-$E$35)/$D$35)*F40*(1+$C40))))+IF($F$60&gt;$F$35,0,IF($F$60&lt;$D$35,0,IF($F$60&gt;$E$35,(($F$35-$F$60)/$D$35)*G40*(1+$C40),(($F$60-$D$35)/$D$35)*G40*(1+$C40))))+IF($F$60&gt;$E$35,0,IF($F$60&gt;$D$35,(($E$35-$F$60)/$D$35)*H40*(1+$C40),(($D$35-$F$60)/$D$35)*I40*(1+$C40)+($F$60/$D$35)*H40*(1+$C40)))</f>
        <v>0</v>
      </c>
      <c r="J69" s="42">
        <f>IF($F$60&gt;$J$35,0,IF($F$60&lt;$H$35,0,IF($F$60&gt;$I$35,(($J$35-$F$60)/$D$35)*D40*(1+$C40),(($F$60-$H$35)/$D$35)*D40*(1+$C40))))+IF($F$60&gt;$I$35,0,IF($F$60&lt;$G$35,0,IF($F$60&gt;$H$35,(($I$35-$F$60)/$D$35)*E40*(1+$C40),(($F$60-$G$35)/$D$35)*E40*(1+$C40))))+IF($F$60&gt;$H$35,0,IF($F$60&lt;$F$35,0,IF($F$60&gt;$G$35,(($H$35-$F$60)/$D$35)*F40*(1+$C40),(($F$60-$F$35)/$D$35)*F40*(1+$C40))))+IF($F$60&gt;$G$35,0,IF($F$60&lt;$E$35,0,IF($F$60&gt;$F$35,(($G$35-$F$60)/$D$35)*G40*(1+$C40),(($F$60-$E$35)/$D$35)*G40*(1+$C40))))+IF($F$60&gt;$F$35,0,IF($F$60&lt;$D$35,0,IF($F$60&gt;$E$35,(($F$35-$F$60)/$D$35)*H40*(1+$C40),(($F$60-$D$35)/$D$35)*H40*(1+$C40))))+IF($F$60&gt;$E$35,0,IF($F$60&gt;$D$35,(($E$35-$F$60)/$D$35)*I40*(1+$C40),(($D$35-$F$60)/$D$35)*J40*(1+$C40)+($F$60/$D$35)*I40*(1+$C40)))</f>
        <v>0</v>
      </c>
      <c r="K69" s="42">
        <f>IF($F$60&gt;$K$35,0,IF($F$60&lt;$I$35,0,IF($F$60&gt;$J$35,(($K$35-$F$60)/$D$35)*D40*(1+$C40),(($F$60-$I$35)/$D$35)*D40*(1+$C40))))+IF($F$60&gt;$J$35,0,IF($F$60&lt;$H$35,0,IF($F$60&gt;$I$35,(($J$35-$F$60)/$D$35)*E40*(1+$C40),(($F$60-$H$35)/$D$35)*E40*(1+$C40))))+IF($F$60&gt;$I$35,0,IF($F$60&lt;$G$35,0,IF($F$60&gt;$H$35,(($I$35-$F$60)/$D$35)*F40*(1+$C40),(($F$60-$G$35)/$D$35)*F40*(1+$C40))))+IF($F$60&gt;$H$35,0,IF($F$60&lt;$F$35,0,IF($F$60&gt;$G$35,(($H$35-$F$60)/$D$35)*G40*(1+$C40),(($F$60-$F$35)/$D$35)*G40*(1+$C40))))+IF($F$60&gt;$G$35,0,IF($F$60&lt;$E$35,0,IF($F$60&gt;$F$35,(($G$35-$F$60)/$D$35)*H40*(1+$C40),(($F$60-$E$35)/$D$35)*H40*(1+$C40))))+IF($F$60&gt;$F$35,0,IF($F$60&lt;$D$35,0,IF($F$60&gt;$E$35,(($F$35-$F$60)/$D$35)*I40*(1+$C40),(($F$60-$D$35)/$D$35)*I40*(1+$C40))))+IF($F$60&gt;$E$35,0,IF($F$60&gt;$D$35,(($E$35-$F$60)/$D$35)*J40*(1+$C40),(($D$35-$F$60)/$D$35)*K40*(1+$C40)+($F$60/$D$35)*J40*(1+$C40)))</f>
        <v>0</v>
      </c>
      <c r="L69" s="42">
        <f>IF($F$60&gt;$L$35,0,IF($F$60&lt;$J$35,0,IF($F$60&gt;$K$35,(($L$35-$F$60)/$D$35)*D40*(1+$C40),(($F$60-$J$35)/$D$35)*D40*(1+$C40))))+IF($F$60&gt;$K$35,0,IF($F$60&lt;$I$35,0,IF($F$60&gt;$J$35,(($K$35-$F$60)/$D$35)*E40*(1+$C40),(($F$60-$I$35)/$D$35)*E40*(1+$C40))))+IF($F$60&gt;$J$35,0,IF($F$60&lt;$H$35,0,IF($F$60&gt;$I$35,(($J$35-$F$60)/$D$35)*F40*(1+$C40),(($F$60-$H$35)/$D$35)*F40*(1+$C40))))+IF($F$60&gt;$I$35,0,IF($F$60&lt;$G$35,0,IF($F$60&gt;$H$35,(($I$35-$F$60)/$D$35)*G40*(1+$C40),(($F$60-$G$35)/$D$35)*G40*(1+$C40))))+IF($F$60&gt;$H$35,0,IF($F$60&lt;$F$35,0,IF($F$60&gt;$G$35,(($H$35-$F$60)/$D$35)*H40*(1+$C40),(($F$60-$F$35)/$D$35)*H40*(1+$C40))))+IF($F$60&gt;$G$35,0,IF($F$60&lt;$E$35,0,IF($F$60&gt;$F$35,(($G$35-$F$60)/$D$35)*I40*(1+$C40),(($F$60-$E$35)/$D$35)*I40*(1+$C40))))+IF($F$60&gt;$F$35,0,IF($F$60&lt;$D$35,0,IF($F$60&gt;$E$35,(($F$35-$F$60)/$D$35)*J40*(1+$C40),(($F$60-$D$35)/$D$35)*J40*(1+$C40))))+IF($F$60&gt;$E$35,0,IF($F$60&gt;$D$35,(($E$35-$F$60)/$D$35)*K40*(1+$C40),(($D$35-$F$60)/$D$35)*L40*(1+$C40)+($F$60/$D$35)*K40*(1+$C40)))</f>
        <v>0</v>
      </c>
      <c r="M69" s="42">
        <f>IF($F$60&gt;$M$35,0,IF($F$60&lt;$K$35,0,IF($F$60&gt;$L$35,(($M$35-$F$60)/$D$35)*D40*(1+$C40),(($F$60-$K$35)/$D$35)*D40*(1+$C40))))+IF($F$60&gt;$L$35,0,IF($F$60&lt;$J$35,0,IF($F$60&gt;$K$35,(($L$35-$F$60)/$D$35)*E40*(1+$C40),(($F$60-$J$35)/$D$35)*E40*(1+$C40))))+IF($F$60&gt;$K$35,0,IF($F$60&lt;$I$35,0,IF($F$60&gt;$J$35,(($K$35-$F$60)/$D$35)*F40*(1+$C40),(($F$60-$I$35)/$D$35)*F40*(1+$C40))))+IF($F$60&gt;$J$35,0,IF($F$60&lt;$H$35,0,IF($F$60&gt;$I$35,(($J$35-$F$60)/$D$35)*G40*(1+$C40),(($F$60-$H$35)/$D$35)*G40*(1+$C40))))+IF($F$60&gt;$I$35,0,IF($F$60&lt;$G$35,0,IF($F$60&gt;$H$35,(($I$35-$F$60)/$D$35)*H40*(1+$C40),(($F$60-$G$35)/$D$35)*H40*(1+$C40))))+IF($F$60&gt;$H$35,0,IF($F$60&lt;$F$35,0,IF($F$60&gt;$G$35,(($H$35-$F$60)/$D$35)*I40*(1+$C40),(($F$60-$F$35)/$D$35)*I40*(1+$C40))))+IF($F$60&gt;$G$35,0,IF($F$60&lt;$E$35,0,IF($F$60&gt;$F$35,(($G$35-$F$60)/$D$35)*J40*(1+$C40),(($F$60-$E$35)/$D$35)*J40*(1+$C40))))+IF($F$60&gt;$F$35,0,IF($F$60&lt;$D$35,0,IF($F$60&gt;$E$35,(($F$35-$F$60)/$D$35)*K40*(1+$C40),(($F$60-$D$35)/$D$35)*K40*(1+$C40))))+IF($F$60&gt;$E$35,0,IF($F$60&gt;$D$35,(($E$35-$F$60)/$D$35)*L40*(1+$C40),(($D$35-$F$60)/$D$35)*M40*(1+$C40)+($F$60/$D$35)*L40*(1+$C40)))</f>
        <v>0</v>
      </c>
      <c r="N69" s="42">
        <f>IF($F$60&gt;$N$35,0,IF($F$60&lt;$L$35,0,IF($F$60&gt;$M$35,(($N$35-$F$60)/$D$35)*D40*(1+$C40),(($F$60-$L$35)/$D$35)*D40*(1+$C40))))+IF($F$60&gt;$M$35,0,IF($F$60&lt;$K$35,0,IF($F$60&gt;$L$35,(($M$35-$F$60)/$D$35)*E40*(1+$C40),(($F$60-$K$35)/$D$35)*E40*(1+$C40))))+IF($F$60&gt;$L$35,0,IF($F$60&lt;$J$35,0,IF($F$60&gt;$K$35,(($L$35-$F$60)/$D$35)*F40*(1+$C40),(($F$60-$J$35)/$D$35)*F40*(1+$C40))))+IF($F$60&gt;$K$35,0,IF($F$60&lt;$I$35,0,IF($F$60&gt;$J$35,(($K$35-$F$60)/$D$35)*G40*(1+$C40),(($F$60-$I$35)/$D$35)*G40*(1+$C40))))+IF($F$60&gt;$J$35,0,IF($F$60&lt;$H$35,0,IF($F$60&gt;$I$35,(($J$35-$F$60)/$D$35)*H40*(1+$C40),(($F$60-$H$35)/$D$35)*H40*(1+$C40))))+IF($F$60&gt;$I$35,0,IF($F$60&lt;$G$35,0,IF($F$60&gt;$H$35,(($I$35-$F$60)/$D$35)*I40*(1+$C40),(($F$60-$G$35)/$D$35)*I40*(1+$C40))))+IF($F$60&gt;$H$35,0,IF($F$60&lt;$F$35,0,IF($F$60&gt;$G$35,(($H$35-$F$60)/$D$35)*J40*(1+$C40),(($F$60-$F$35)/$D$35)*J40*(1+$C40))))+IF($F$60&gt;$G$35,0,IF($F$60&lt;$E$35,0,IF($F$60&gt;$F$35,(($G$35-$F$60)/$D$35)*K40*(1+$C40),(($F$60-$E$35)/$D$35)*K40*(1+$C40))))+IF($F$60&gt;$F$35,0,IF($F$60&lt;$D$35,0,IF($F$60&gt;$E$35,(($F$35-$F$60)/$D$35)*L40*(1+$C40),(($F$60-$D$35)/$D$35)*L40*(1+$C40))))+IF($F$60&gt;$E$35,0,IF($F$60&gt;$D$35,(($E$35-$F$60)/$D$35)*M40*(1+$C40),(($D$35-$F$60)/$D$35)*N40*(1+$C40)+($F$60/$D$35)*M40*(1+$C40)))</f>
        <v>0</v>
      </c>
      <c r="O69" s="42">
        <f>IF($F$60&gt;$O$35,0,IF($F$60&lt;$M$35,0,IF($F$60&gt;$N$35,(($O$35-$F$60)/$D$35)*D40*(1+$C40),(($F$60-$M$35)/$D$35)*D40*(1+$C40))))+IF($F$60&gt;$N$35,0,IF($F$60&lt;$L$35,0,IF($F$60&gt;$M$35,(($N$35-$F$60)/$D$35)*E40*(1+$C40),(($F$60-$L$35)/$D$35)*E40*(1+$C40))))+IF($F$60&gt;$M$35,0,IF($F$60&lt;$K$35,0,IF($F$60&gt;$L$35,(($M$35-$F$60)/$D$35)*F40*(1+$C40),(($F$60-$K$35)/$D$35)*F40*(1+$C40))))+IF($F$60&gt;$L$35,0,IF($F$60&lt;$J$35,0,IF($F$60&gt;$K$35,(($L$35-$F$60)/$D$35)*G40*(1+$C40),(($F$60-$J$35)/$D$35)*G40*(1+$C40))))+IF($F$60&gt;$K$35,0,IF($F$60&lt;$I$35,0,IF($F$60&gt;$J$35,(($K$35-$F$60)/$D$35)*H40*(1+$C40),(($F$60-$I$35)/$D$35)*H40*(1+$C40))))+IF($F$60&gt;$J$35,0,IF($F$60&lt;$H$35,0,IF($F$60&gt;$I$35,(($J$35-$F$60)/$D$35)*I40*(1+$C40),(($F$60-$H$35)/$D$35)*I40*(1+$C40))))+IF($F$60&gt;$I$35,0,IF($F$60&lt;$G$35,0,IF($F$60&gt;$H$35,(($I$35-$F$60)/$D$35)*J40*(1+$C40),(($F$60-$G$35)/$D$35)*J40*(1+$C40))))+IF($F$60&gt;$H$35,0,IF($F$60&lt;$F$35,0,IF($F$60&gt;$G$35,(($H$35-$F$60)/$D$35)*K40*(1+$C40),(($F$60-$F$35)/$D$35)*K40*(1+$C40))))+IF($F$60&gt;$G$35,0,IF($F$60&lt;$E$35,0,IF($F$60&gt;$F$35,(($G$35-$F$60)/$D$35)*L40*(1+$C40),(($F$60-$E$35)/$D$35)*L40*(1+$C40))))+IF($F$60&gt;$F$35,0,IF($F$60&lt;$D$35,0,IF($F$60&gt;$E$35,(($F$35-$F$60)/$D$35)*M40*(1+$C40),(($F$60-$D$35)/$D$35)*M40*(1+$C40))))+IF($F$60&gt;$E$35,0,IF($F$60&gt;$D$35,(($E$35-$F$60)/$D$35)*N40*(1+$C40),(($D$35-$F$60)/$D$35)*O40*(1+$C40)+($F$60/$D$35)*N40*(1+$C40)))</f>
        <v>0</v>
      </c>
      <c r="P69" s="45"/>
      <c r="Q69" s="45"/>
      <c r="R69" s="45"/>
    </row>
    <row r="70" spans="2:18">
      <c r="B70" s="57" t="s">
        <v>16</v>
      </c>
      <c r="C70" s="74">
        <f>IF($D$15="Continente",0.13,IF($D$15="Açores",0.09,IF($D$15="Madeira",0.12,0)))</f>
        <v>0.13</v>
      </c>
      <c r="D70" s="42">
        <f>IF($F$60&gt;$D$35,0,(($D$35-$F$60)/$D$35)*D41*(1+$C41))</f>
        <v>0</v>
      </c>
      <c r="E70" s="42">
        <f>IF($F$60&gt;$E$35,0,IF($F$60&gt;$D$35,(($E$35-$F$60)/$D$35)*D41*(1+$C41),($F$60/$D$35)*D41*(1+$C41)+(($D$35-$F$60)/$D$35)*E41*(1+$C41)))</f>
        <v>0</v>
      </c>
      <c r="F70" s="42">
        <f>IF($F$60&gt;$F$35,0,IF($F$60&lt;$D$35,0,IF($F$60&gt;$E$35,(($F$35-$F$60)/$D$35)*D41*(1+C41),(($F$60-$D$35)/$D$35)*D41*(1+C41))))+IF($F$60&gt;$E$35,0,IF($F$60&gt;$D$35,(($E$35-$F$60)/$D$35)*E41*(1+$C41),(($D$35-$F$60)/$D$35)*F41*(1+$C41)+($F$60/$D$35)*E41*(1+$C41)))</f>
        <v>0</v>
      </c>
      <c r="G70" s="42">
        <f>IF($F$60&gt;$G$35,0,IF($F$60&lt;$E$35,0,IF($F$60&gt;$F$35,(($G$35-$F$60)/$D$35)*D41*(1+C41),(($F$60-$E$35)/$D$35)*D41*(1+C41))))+IF($F$60&gt;$F$35,0,IF($F$60&lt;$D$35,0,IF($F$60&gt;$E$35,(($F$35-$F$60)/$D$35)*E41*(1+C41),(($F$60-$D$35)/$D$35)*E41*(1+C41))))+IF($F$60&gt;$E$35,0,IF($F$60&gt;$D$35,(($E$35-$F$60)/$D$35)*F41*(1+$C41),(($D$35-$F$60)/$D$35)*G41*(1+$C41)+($F$60/$D$35)*F41*(1+$C41)))</f>
        <v>0</v>
      </c>
      <c r="H70" s="42">
        <f>IF($F$60&gt;$H$35,0,IF($F$60&lt;$F$35,0,IF($F$60&gt;$G$35,(($H$35-$F$60)/$D$35)*D41*(1+C41),(($F$60-$F$35)/$D$35)*D41*(1+C41))))+IF($F$60&gt;$G$35,0,IF($F$60&lt;$E$35,0,IF($F$60&gt;$F$35,(($G$35-$F$60)/$D$35)*E41*(1+C41),(($F$60-$E$35)/$D$35)*E41*(1+C41))))+IF($F$60&gt;$F$35,0,IF($F$60&lt;$D$35,0,IF($F$60&gt;$E$35,(($F$35-$F$60)/$D$35)*F41*(1+C41),(($F$60-$D$35)/$D$35)*F41*(1+C41))))+IF($F$60&gt;$E$35,0,IF($F$60&gt;$D$35,(($E$35-$F$60)/$D$35)*G41*(1+$C41),(($D$35-$F$60)/$D$35)*H41*(1+$C41)+($F$60/$D$35)*G41*(1+$C41)))</f>
        <v>0</v>
      </c>
      <c r="I70" s="42">
        <f>IF($F$60&gt;$I$35,0,IF($F$60&lt;$G$35,0,IF($F$60&gt;$H$35,(($I$35-$F$60)/$D$35)*D41*(1+C41),(($F$60-$G$35)/$D$35)*D41*(1+C41))))+IF($F$60&gt;$H$35,0,IF($F$60&lt;$F$35,0,IF($F$60&gt;$G$35,(($H$35-$F$60)/$D$35)*E41*(1+C41),(($F$60-$F$35)/$D$35)*E41*(1+C41))))+IF($F$60&gt;$G$35,0,IF($F$60&lt;$E$35,0,IF($F$60&gt;$F$35,(($G$35-$F$60)/$D$35)*F41*(1+C41),(($F$60-$E$35)/$D$35)*F41*(1+C41))))+IF($F$60&gt;$F$35,0,IF($F$60&lt;$D$35,0,IF($F$60&gt;$E$35,(($F$35-$F$60)/$D$35)*G41*(1+C41),(($F$60-$D$35)/$D$35)*G41*(1+C41))))+IF($F$60&gt;$E$35,0,IF($F$60&gt;$D$35,(($E$35-$F$60)/$D$35)*H41*(1+$C41),(($D$35-$F$60)/$D$35)*I41*(1+$C41)+($F$60/$D$35)*H41*(1+$C41)))</f>
        <v>0</v>
      </c>
      <c r="J70" s="42">
        <f>IF($F$60&gt;$J$35,0,IF($F$60&lt;$H$35,0,IF($F$60&gt;$I$35,(($J$35-$F$60)/$D$35)*D41*(1+$C41),(($F$60-$H$35)/$D$35)*D41*(1+$C41))))+IF($F$60&gt;$I$35,0,IF($F$60&lt;$G$35,0,IF($F$60&gt;$H$35,(($I$35-$F$60)/$D$35)*E41*(1+$C41),(($F$60-$G$35)/$D$35)*E41*(1+$C41))))+IF($F$60&gt;$H$35,0,IF($F$60&lt;$F$35,0,IF($F$60&gt;$G$35,(($H$35-$F$60)/$D$35)*F41*(1+$C41),(($F$60-$F$35)/$D$35)*F41*(1+$C41))))+IF($F$60&gt;$G$35,0,IF($F$60&lt;$E$35,0,IF($F$60&gt;$F$35,(($G$35-$F$60)/$D$35)*G41*(1+$C41),(($F$60-$E$35)/$D$35)*G41*(1+$C41))))+IF($F$60&gt;$F$35,0,IF($F$60&lt;$D$35,0,IF($F$60&gt;$E$35,(($F$35-$F$60)/$D$35)*H41*(1+$C41),(($F$60-$D$35)/$D$35)*H41*(1+$C41))))+IF($F$60&gt;$E$35,0,IF($F$60&gt;$D$35,(($E$35-$F$60)/$D$35)*I41*(1+$C41),(($D$35-$F$60)/$D$35)*J41*(1+$C41)+($F$60/$D$35)*I41*(1+$C41)))</f>
        <v>0</v>
      </c>
      <c r="K70" s="42">
        <f>IF($F$60&gt;$K$35,0,IF($F$60&lt;$I$35,0,IF($F$60&gt;$J$35,(($K$35-$F$60)/$D$35)*D41*(1+$C41),(($F$60-$I$35)/$D$35)*D41*(1+$C41))))+IF($F$60&gt;$J$35,0,IF($F$60&lt;$H$35,0,IF($F$60&gt;$I$35,(($J$35-$F$60)/$D$35)*E41*(1+$C41),(($F$60-$H$35)/$D$35)*E41*(1+$C41))))+IF($F$60&gt;$I$35,0,IF($F$60&lt;$G$35,0,IF($F$60&gt;$H$35,(($I$35-$F$60)/$D$35)*F41*(1+$C41),(($F$60-$G$35)/$D$35)*F41*(1+$C41))))+IF($F$60&gt;$H$35,0,IF($F$60&lt;$F$35,0,IF($F$60&gt;$G$35,(($H$35-$F$60)/$D$35)*G41*(1+$C41),(($F$60-$F$35)/$D$35)*G41*(1+$C41))))+IF($F$60&gt;$G$35,0,IF($F$60&lt;$E$35,0,IF($F$60&gt;$F$35,(($G$35-$F$60)/$D$35)*H41*(1+$C41),(($F$60-$E$35)/$D$35)*H41*(1+$C41))))+IF($F$60&gt;$F$35,0,IF($F$60&lt;$D$35,0,IF($F$60&gt;$E$35,(($F$35-$F$60)/$D$35)*I41*(1+$C41),(($F$60-$D$35)/$D$35)*I41*(1+$C41))))+IF($F$60&gt;$E$35,0,IF($F$60&gt;$D$35,(($E$35-$F$60)/$D$35)*J41*(1+$C41),(($D$35-$F$60)/$D$35)*K41*(1+$C41)+($F$60/$D$35)*J41*(1+$C41)))</f>
        <v>0</v>
      </c>
      <c r="L70" s="42">
        <f>IF($F$60&gt;$L$35,0,IF($F$60&lt;$J$35,0,IF($F$60&gt;$K$35,(($L$35-$F$60)/$D$35)*D41*(1+$C41),(($F$60-$J$35)/$D$35)*D41*(1+$C41))))+IF($F$60&gt;$K$35,0,IF($F$60&lt;$I$35,0,IF($F$60&gt;$J$35,(($K$35-$F$60)/$D$35)*E41*(1+$C41),(($F$60-$I$35)/$D$35)*E41*(1+$C41))))+IF($F$60&gt;$J$35,0,IF($F$60&lt;$H$35,0,IF($F$60&gt;$I$35,(($J$35-$F$60)/$D$35)*F41*(1+$C41),(($F$60-$H$35)/$D$35)*F41*(1+$C41))))+IF($F$60&gt;$I$35,0,IF($F$60&lt;$G$35,0,IF($F$60&gt;$H$35,(($I$35-$F$60)/$D$35)*G41*(1+$C41),(($F$60-$G$35)/$D$35)*G41*(1+$C41))))+IF($F$60&gt;$H$35,0,IF($F$60&lt;$F$35,0,IF($F$60&gt;$G$35,(($H$35-$F$60)/$D$35)*H41*(1+$C41),(($F$60-$F$35)/$D$35)*H41*(1+$C41))))+IF($F$60&gt;$G$35,0,IF($F$60&lt;$E$35,0,IF($F$60&gt;$F$35,(($G$35-$F$60)/$D$35)*I41*(1+$C41),(($F$60-$E$35)/$D$35)*I41*(1+$C41))))+IF($F$60&gt;$F$35,0,IF($F$60&lt;$D$35,0,IF($F$60&gt;$E$35,(($F$35-$F$60)/$D$35)*J41*(1+$C41),(($F$60-$D$35)/$D$35)*J41*(1+$C41))))+IF($F$60&gt;$E$35,0,IF($F$60&gt;$D$35,(($E$35-$F$60)/$D$35)*K41*(1+$C41),(($D$35-$F$60)/$D$35)*L41*(1+$C41)+($F$60/$D$35)*K41*(1+$C41)))</f>
        <v>0</v>
      </c>
      <c r="M70" s="42">
        <f>IF($F$60&gt;$M$35,0,IF($F$60&lt;$K$35,0,IF($F$60&gt;$L$35,(($M$35-$F$60)/$D$35)*D41*(1+$C41),(($F$60-$K$35)/$D$35)*D41*(1+$C41))))+IF($F$60&gt;$L$35,0,IF($F$60&lt;$J$35,0,IF($F$60&gt;$K$35,(($L$35-$F$60)/$D$35)*E41*(1+$C41),(($F$60-$J$35)/$D$35)*E41*(1+$C41))))+IF($F$60&gt;$K$35,0,IF($F$60&lt;$I$35,0,IF($F$60&gt;$J$35,(($K$35-$F$60)/$D$35)*F41*(1+$C41),(($F$60-$I$35)/$D$35)*F41*(1+$C41))))+IF($F$60&gt;$J$35,0,IF($F$60&lt;$H$35,0,IF($F$60&gt;$I$35,(($J$35-$F$60)/$D$35)*G41*(1+$C41),(($F$60-$H$35)/$D$35)*G41*(1+$C41))))+IF($F$60&gt;$I$35,0,IF($F$60&lt;$G$35,0,IF($F$60&gt;$H$35,(($I$35-$F$60)/$D$35)*H41*(1+$C41),(($F$60-$G$35)/$D$35)*H41*(1+$C41))))+IF($F$60&gt;$H$35,0,IF($F$60&lt;$F$35,0,IF($F$60&gt;$G$35,(($H$35-$F$60)/$D$35)*I41*(1+$C41),(($F$60-$F$35)/$D$35)*I41*(1+$C41))))+IF($F$60&gt;$G$35,0,IF($F$60&lt;$E$35,0,IF($F$60&gt;$F$35,(($G$35-$F$60)/$D$35)*J41*(1+$C41),(($F$60-$E$35)/$D$35)*J41*(1+$C41))))+IF($F$60&gt;$F$35,0,IF($F$60&lt;$D$35,0,IF($F$60&gt;$E$35,(($F$35-$F$60)/$D$35)*K41*(1+$C41),(($F$60-$D$35)/$D$35)*K41*(1+$C41))))+IF($F$60&gt;$E$35,0,IF($F$60&gt;$D$35,(($E$35-$F$60)/$D$35)*L41*(1+$C41),(($D$35-$F$60)/$D$35)*M41*(1+$C41)+($F$60/$D$35)*L41*(1+$C41)))</f>
        <v>0</v>
      </c>
      <c r="N70" s="42">
        <f>IF($F$60&gt;$N$35,0,IF($F$60&lt;$L$35,0,IF($F$60&gt;$M$35,(($N$35-$F$60)/$D$35)*D41*(1+$C41),(($F$60-$L$35)/$D$35)*D41*(1+$C41))))+IF($F$60&gt;$M$35,0,IF($F$60&lt;$K$35,0,IF($F$60&gt;$L$35,(($M$35-$F$60)/$D$35)*E41*(1+$C41),(($F$60-$K$35)/$D$35)*E41*(1+$C41))))+IF($F$60&gt;$L$35,0,IF($F$60&lt;$J$35,0,IF($F$60&gt;$K$35,(($L$35-$F$60)/$D$35)*F41*(1+$C41),(($F$60-$J$35)/$D$35)*F41*(1+$C41))))+IF($F$60&gt;$K$35,0,IF($F$60&lt;$I$35,0,IF($F$60&gt;$J$35,(($K$35-$F$60)/$D$35)*G41*(1+$C41),(($F$60-$I$35)/$D$35)*G41*(1+$C41))))+IF($F$60&gt;$J$35,0,IF($F$60&lt;$H$35,0,IF($F$60&gt;$I$35,(($J$35-$F$60)/$D$35)*H41*(1+$C41),(($F$60-$H$35)/$D$35)*H41*(1+$C41))))+IF($F$60&gt;$I$35,0,IF($F$60&lt;$G$35,0,IF($F$60&gt;$H$35,(($I$35-$F$60)/$D$35)*I41*(1+$C41),(($F$60-$G$35)/$D$35)*I41*(1+$C41))))+IF($F$60&gt;$H$35,0,IF($F$60&lt;$F$35,0,IF($F$60&gt;$G$35,(($H$35-$F$60)/$D$35)*J41*(1+$C41),(($F$60-$F$35)/$D$35)*J41*(1+$C41))))+IF($F$60&gt;$G$35,0,IF($F$60&lt;$E$35,0,IF($F$60&gt;$F$35,(($G$35-$F$60)/$D$35)*K41*(1+$C41),(($F$60-$E$35)/$D$35)*K41*(1+$C41))))+IF($F$60&gt;$F$35,0,IF($F$60&lt;$D$35,0,IF($F$60&gt;$E$35,(($F$35-$F$60)/$D$35)*L41*(1+$C41),(($F$60-$D$35)/$D$35)*L41*(1+$C41))))+IF($F$60&gt;$E$35,0,IF($F$60&gt;$D$35,(($E$35-$F$60)/$D$35)*M41*(1+$C41),(($D$35-$F$60)/$D$35)*N41*(1+$C41)+($F$60/$D$35)*M41*(1+$C41)))</f>
        <v>0</v>
      </c>
      <c r="O70" s="42">
        <f>IF($F$60&gt;$O$35,0,IF($F$60&lt;$M$35,0,IF($F$60&gt;$N$35,(($O$35-$F$60)/$D$35)*D41*(1+$C41),(($F$60-$M$35)/$D$35)*D41*(1+$C41))))+IF($F$60&gt;$N$35,0,IF($F$60&lt;$L$35,0,IF($F$60&gt;$M$35,(($N$35-$F$60)/$D$35)*E41*(1+$C41),(($F$60-$L$35)/$D$35)*E41*(1+$C41))))+IF($F$60&gt;$M$35,0,IF($F$60&lt;$K$35,0,IF($F$60&gt;$L$35,(($M$35-$F$60)/$D$35)*F41*(1+$C41),(($F$60-$K$35)/$D$35)*F41*(1+$C41))))+IF($F$60&gt;$L$35,0,IF($F$60&lt;$J$35,0,IF($F$60&gt;$K$35,(($L$35-$F$60)/$D$35)*G41*(1+$C41),(($F$60-$J$35)/$D$35)*G41*(1+$C41))))+IF($F$60&gt;$K$35,0,IF($F$60&lt;$I$35,0,IF($F$60&gt;$J$35,(($K$35-$F$60)/$D$35)*H41*(1+$C41),(($F$60-$I$35)/$D$35)*H41*(1+$C41))))+IF($F$60&gt;$J$35,0,IF($F$60&lt;$H$35,0,IF($F$60&gt;$I$35,(($J$35-$F$60)/$D$35)*I41*(1+$C41),(($F$60-$H$35)/$D$35)*I41*(1+$C41))))+IF($F$60&gt;$I$35,0,IF($F$60&lt;$G$35,0,IF($F$60&gt;$H$35,(($I$35-$F$60)/$D$35)*J41*(1+$C41),(($F$60-$G$35)/$D$35)*J41*(1+$C41))))+IF($F$60&gt;$H$35,0,IF($F$60&lt;$F$35,0,IF($F$60&gt;$G$35,(($H$35-$F$60)/$D$35)*K41*(1+$C41),(($F$60-$F$35)/$D$35)*K41*(1+$C41))))+IF($F$60&gt;$G$35,0,IF($F$60&lt;$E$35,0,IF($F$60&gt;$F$35,(($G$35-$F$60)/$D$35)*L41*(1+$C41),(($F$60-$E$35)/$D$35)*L41*(1+$C41))))+IF($F$60&gt;$F$35,0,IF($F$60&lt;$D$35,0,IF($F$60&gt;$E$35,(($F$35-$F$60)/$D$35)*M41*(1+$C41),(($F$60-$D$35)/$D$35)*M41*(1+$C41))))+IF($F$60&gt;$E$35,0,IF($F$60&gt;$D$35,(($E$35-$F$60)/$D$35)*N41*(1+$C41),(($D$35-$F$60)/$D$35)*O41*(1+$C41)+($F$60/$D$35)*N41*(1+$C41)))</f>
        <v>0</v>
      </c>
      <c r="P70" s="45"/>
      <c r="Q70" s="45"/>
      <c r="R70" s="45"/>
    </row>
    <row r="71" spans="2:18">
      <c r="B71" s="57" t="s">
        <v>16</v>
      </c>
      <c r="C71" s="74">
        <f>IF($D$15="Continente",0.06,IF($D$15="Açores",0.04,IF($D$15="Madeira",0.05,0)))</f>
        <v>0.06</v>
      </c>
      <c r="D71" s="42">
        <f>IF($F$60&gt;$D$35,0,(($D$35-$F$60)/$D$35)*D42*(1+$C42))</f>
        <v>0</v>
      </c>
      <c r="E71" s="42">
        <f>IF($F$60&gt;$E$35,0,IF($F$60&gt;$D$35,(($E$35-$F$60)/$D$35)*D42*(1+$C42),($F$60/$D$35)*D42*(1+$C42)+(($D$35-$F$60)/$D$35)*E42*(1+$C42)))</f>
        <v>0</v>
      </c>
      <c r="F71" s="42">
        <f>IF($F$60&gt;$F$35,0,IF($F$60&lt;$D$35,0,IF($F$60&gt;$E$35,(($F$35-$F$60)/$D$35)*D42*(1+C42),(($F$60-$D$35)/$D$35)*D42*(1+C42))))+IF($F$60&gt;$E$35,0,IF($F$60&gt;$D$35,(($E$35-$F$60)/$D$35)*E42*(1+$C42),(($D$35-$F$60)/$D$35)*F42*(1+$C42)+($F$60/$D$35)*E42*(1+$C42)))</f>
        <v>0</v>
      </c>
      <c r="G71" s="42">
        <f>IF($F$60&gt;$G$35,0,IF($F$60&lt;$E$35,0,IF($F$60&gt;$F$35,(($G$35-$F$60)/$D$35)*D42*(1+C42),(($F$60-$E$35)/$D$35)*D42*(1+C42))))+IF($F$60&gt;$F$35,0,IF($F$60&lt;$D$35,0,IF($F$60&gt;$E$35,(($F$35-$F$60)/$D$35)*E42*(1+C42),(($F$60-$D$35)/$D$35)*E42*(1+C42))))+IF($F$60&gt;$E$35,0,IF($F$60&gt;$D$35,(($E$35-$F$60)/$D$35)*F42*(1+$C42),(($D$35-$F$60)/$D$35)*G42*(1+$C42)+($F$60/$D$35)*F42*(1+$C42)))</f>
        <v>0</v>
      </c>
      <c r="H71" s="42">
        <f>IF($F$60&gt;$H$35,0,IF($F$60&lt;$F$35,0,IF($F$60&gt;$G$35,(($H$35-$F$60)/$D$35)*D42*(1+C42),(($F$60-$F$35)/$D$35)*D42*(1+C42))))+IF($F$60&gt;$G$35,0,IF($F$60&lt;$E$35,0,IF($F$60&gt;$F$35,(($G$35-$F$60)/$D$35)*E42*(1+C42),(($F$60-$E$35)/$D$35)*E42*(1+C42))))+IF($F$60&gt;$F$35,0,IF($F$60&lt;$D$35,0,IF($F$60&gt;$E$35,(($F$35-$F$60)/$D$35)*F42*(1+C42),(($F$60-$D$35)/$D$35)*F42*(1+C42))))+IF($F$60&gt;$E$35,0,IF($F$60&gt;$D$35,(($E$35-$F$60)/$D$35)*G42*(1+$C42),(($D$35-$F$60)/$D$35)*H42*(1+$C42)+($F$60/$D$35)*G42*(1+$C42)))</f>
        <v>0</v>
      </c>
      <c r="I71" s="42">
        <f>IF($F$60&gt;$I$35,0,IF($F$60&lt;$G$35,0,IF($F$60&gt;$H$35,(($I$35-$F$60)/$D$35)*D42*(1+C42),(($F$60-$G$35)/$D$35)*D42*(1+C42))))+IF($F$60&gt;$H$35,0,IF($F$60&lt;$F$35,0,IF($F$60&gt;$G$35,(($H$35-$F$60)/$D$35)*E42*(1+C42),(($F$60-$F$35)/$D$35)*E42*(1+C42))))+IF($F$60&gt;$G$35,0,IF($F$60&lt;$E$35,0,IF($F$60&gt;$F$35,(($G$35-$F$60)/$D$35)*F42*(1+C42),(($F$60-$E$35)/$D$35)*F42*(1+C42))))+IF($F$60&gt;$F$35,0,IF($F$60&lt;$D$35,0,IF($F$60&gt;$E$35,(($F$35-$F$60)/$D$35)*G42*(1+C42),(($F$60-$D$35)/$D$35)*G42*(1+C42))))+IF($F$60&gt;$E$35,0,IF($F$60&gt;$D$35,(($E$35-$F$60)/$D$35)*H42*(1+$C42),(($D$35-$F$60)/$D$35)*I42*(1+$C42)+($F$60/$D$35)*H42*(1+$C42)))</f>
        <v>0</v>
      </c>
      <c r="J71" s="42">
        <f>IF($F$60&gt;$J$35,0,IF($F$60&lt;$H$35,0,IF($F$60&gt;$I$35,(($J$35-$F$60)/$D$35)*D42*(1+$C42),(($F$60-$H$35)/$D$35)*D42*(1+$C42))))+IF($F$60&gt;$I$35,0,IF($F$60&lt;$G$35,0,IF($F$60&gt;$H$35,(($I$35-$F$60)/$D$35)*E42*(1+$C42),(($F$60-$G$35)/$D$35)*E42*(1+$C42))))+IF($F$60&gt;$H$35,0,IF($F$60&lt;$F$35,0,IF($F$60&gt;$G$35,(($H$35-$F$60)/$D$35)*F42*(1+$C42),(($F$60-$F$35)/$D$35)*F42*(1+$C42))))+IF($F$60&gt;$G$35,0,IF($F$60&lt;$E$35,0,IF($F$60&gt;$F$35,(($G$35-$F$60)/$D$35)*G42*(1+$C42),(($F$60-$E$35)/$D$35)*G42*(1+$C42))))+IF($F$60&gt;$F$35,0,IF($F$60&lt;$D$35,0,IF($F$60&gt;$E$35,(($F$35-$F$60)/$D$35)*H42*(1+$C42),(($F$60-$D$35)/$D$35)*H42*(1+$C42))))+IF($F$60&gt;$E$35,0,IF($F$60&gt;$D$35,(($E$35-$F$60)/$D$35)*I42*(1+$C42),(($D$35-$F$60)/$D$35)*J42*(1+$C42)+($F$60/$D$35)*I42*(1+$C42)))</f>
        <v>0</v>
      </c>
      <c r="K71" s="42">
        <f>IF($F$60&gt;$K$35,0,IF($F$60&lt;$I$35,0,IF($F$60&gt;$J$35,(($K$35-$F$60)/$D$35)*D42*(1+$C42),(($F$60-$I$35)/$D$35)*D42*(1+$C42))))+IF($F$60&gt;$J$35,0,IF($F$60&lt;$H$35,0,IF($F$60&gt;$I$35,(($J$35-$F$60)/$D$35)*E42*(1+$C42),(($F$60-$H$35)/$D$35)*E42*(1+$C42))))+IF($F$60&gt;$I$35,0,IF($F$60&lt;$G$35,0,IF($F$60&gt;$H$35,(($I$35-$F$60)/$D$35)*F42*(1+$C42),(($F$60-$G$35)/$D$35)*F42*(1+$C42))))+IF($F$60&gt;$H$35,0,IF($F$60&lt;$F$35,0,IF($F$60&gt;$G$35,(($H$35-$F$60)/$D$35)*G42*(1+$C42),(($F$60-$F$35)/$D$35)*G42*(1+$C42))))+IF($F$60&gt;$G$35,0,IF($F$60&lt;$E$35,0,IF($F$60&gt;$F$35,(($G$35-$F$60)/$D$35)*H42*(1+$C42),(($F$60-$E$35)/$D$35)*H42*(1+$C42))))+IF($F$60&gt;$F$35,0,IF($F$60&lt;$D$35,0,IF($F$60&gt;$E$35,(($F$35-$F$60)/$D$35)*I42*(1+$C42),(($F$60-$D$35)/$D$35)*I42*(1+$C42))))+IF($F$60&gt;$E$35,0,IF($F$60&gt;$D$35,(($E$35-$F$60)/$D$35)*J42*(1+$C42),(($D$35-$F$60)/$D$35)*K42*(1+$C42)+($F$60/$D$35)*J42*(1+$C42)))</f>
        <v>0</v>
      </c>
      <c r="L71" s="42">
        <f>IF($F$60&gt;$L$35,0,IF($F$60&lt;$J$35,0,IF($F$60&gt;$K$35,(($L$35-$F$60)/$D$35)*D42*(1+$C42),(($F$60-$J$35)/$D$35)*D42*(1+$C42))))+IF($F$60&gt;$K$35,0,IF($F$60&lt;$I$35,0,IF($F$60&gt;$J$35,(($K$35-$F$60)/$D$35)*E42*(1+$C42),(($F$60-$I$35)/$D$35)*E42*(1+$C42))))+IF($F$60&gt;$J$35,0,IF($F$60&lt;$H$35,0,IF($F$60&gt;$I$35,(($J$35-$F$60)/$D$35)*F42*(1+$C42),(($F$60-$H$35)/$D$35)*F42*(1+$C42))))+IF($F$60&gt;$I$35,0,IF($F$60&lt;$G$35,0,IF($F$60&gt;$H$35,(($I$35-$F$60)/$D$35)*G42*(1+$C42),(($F$60-$G$35)/$D$35)*G42*(1+$C42))))+IF($F$60&gt;$H$35,0,IF($F$60&lt;$F$35,0,IF($F$60&gt;$G$35,(($H$35-$F$60)/$D$35)*H42*(1+$C42),(($F$60-$F$35)/$D$35)*H42*(1+$C42))))+IF($F$60&gt;$G$35,0,IF($F$60&lt;$E$35,0,IF($F$60&gt;$F$35,(($G$35-$F$60)/$D$35)*I42*(1+$C42),(($F$60-$E$35)/$D$35)*I42*(1+$C42))))+IF($F$60&gt;$F$35,0,IF($F$60&lt;$D$35,0,IF($F$60&gt;$E$35,(($F$35-$F$60)/$D$35)*J42*(1+$C42),(($F$60-$D$35)/$D$35)*J42*(1+$C42))))+IF($F$60&gt;$E$35,0,IF($F$60&gt;$D$35,(($E$35-$F$60)/$D$35)*K42*(1+$C42),(($D$35-$F$60)/$D$35)*L42*(1+$C42)+($F$60/$D$35)*K42*(1+$C42)))</f>
        <v>0</v>
      </c>
      <c r="M71" s="42">
        <f>IF($F$60&gt;$M$35,0,IF($F$60&lt;$K$35,0,IF($F$60&gt;$L$35,(($M$35-$F$60)/$D$35)*D42*(1+$C42),(($F$60-$K$35)/$D$35)*D42*(1+$C42))))+IF($F$60&gt;$L$35,0,IF($F$60&lt;$J$35,0,IF($F$60&gt;$K$35,(($L$35-$F$60)/$D$35)*E42*(1+$C42),(($F$60-$J$35)/$D$35)*E42*(1+$C42))))+IF($F$60&gt;$K$35,0,IF($F$60&lt;$I$35,0,IF($F$60&gt;$J$35,(($K$35-$F$60)/$D$35)*F42*(1+$C42),(($F$60-$I$35)/$D$35)*F42*(1+$C42))))+IF($F$60&gt;$J$35,0,IF($F$60&lt;$H$35,0,IF($F$60&gt;$I$35,(($J$35-$F$60)/$D$35)*G42*(1+$C42),(($F$60-$H$35)/$D$35)*G42*(1+$C42))))+IF($F$60&gt;$I$35,0,IF($F$60&lt;$G$35,0,IF($F$60&gt;$H$35,(($I$35-$F$60)/$D$35)*H42*(1+$C42),(($F$60-$G$35)/$D$35)*H42*(1+$C42))))+IF($F$60&gt;$H$35,0,IF($F$60&lt;$F$35,0,IF($F$60&gt;$G$35,(($H$35-$F$60)/$D$35)*I42*(1+$C42),(($F$60-$F$35)/$D$35)*I42*(1+$C42))))+IF($F$60&gt;$G$35,0,IF($F$60&lt;$E$35,0,IF($F$60&gt;$F$35,(($G$35-$F$60)/$D$35)*J42*(1+$C42),(($F$60-$E$35)/$D$35)*J42*(1+$C42))))+IF($F$60&gt;$F$35,0,IF($F$60&lt;$D$35,0,IF($F$60&gt;$E$35,(($F$35-$F$60)/$D$35)*K42*(1+$C42),(($F$60-$D$35)/$D$35)*K42*(1+$C42))))+IF($F$60&gt;$E$35,0,IF($F$60&gt;$D$35,(($E$35-$F$60)/$D$35)*L42*(1+$C42),(($D$35-$F$60)/$D$35)*M42*(1+$C42)+($F$60/$D$35)*L42*(1+$C42)))</f>
        <v>0</v>
      </c>
      <c r="N71" s="42">
        <f>IF($F$60&gt;$N$35,0,IF($F$60&lt;$L$35,0,IF($F$60&gt;$M$35,(($N$35-$F$60)/$D$35)*D42*(1+$C42),(($F$60-$L$35)/$D$35)*D42*(1+$C42))))+IF($F$60&gt;$M$35,0,IF($F$60&lt;$K$35,0,IF($F$60&gt;$L$35,(($M$35-$F$60)/$D$35)*E42*(1+$C42),(($F$60-$K$35)/$D$35)*E42*(1+$C42))))+IF($F$60&gt;$L$35,0,IF($F$60&lt;$J$35,0,IF($F$60&gt;$K$35,(($L$35-$F$60)/$D$35)*F42*(1+$C42),(($F$60-$J$35)/$D$35)*F42*(1+$C42))))+IF($F$60&gt;$K$35,0,IF($F$60&lt;$I$35,0,IF($F$60&gt;$J$35,(($K$35-$F$60)/$D$35)*G42*(1+$C42),(($F$60-$I$35)/$D$35)*G42*(1+$C42))))+IF($F$60&gt;$J$35,0,IF($F$60&lt;$H$35,0,IF($F$60&gt;$I$35,(($J$35-$F$60)/$D$35)*H42*(1+$C42),(($F$60-$H$35)/$D$35)*H42*(1+$C42))))+IF($F$60&gt;$I$35,0,IF($F$60&lt;$G$35,0,IF($F$60&gt;$H$35,(($I$35-$F$60)/$D$35)*I42*(1+$C42),(($F$60-$G$35)/$D$35)*I42*(1+$C42))))+IF($F$60&gt;$H$35,0,IF($F$60&lt;$F$35,0,IF($F$60&gt;$G$35,(($H$35-$F$60)/$D$35)*J42*(1+$C42),(($F$60-$F$35)/$D$35)*J42*(1+$C42))))+IF($F$60&gt;$G$35,0,IF($F$60&lt;$E$35,0,IF($F$60&gt;$F$35,(($G$35-$F$60)/$D$35)*K42*(1+$C42),(($F$60-$E$35)/$D$35)*K42*(1+$C42))))+IF($F$60&gt;$F$35,0,IF($F$60&lt;$D$35,0,IF($F$60&gt;$E$35,(($F$35-$F$60)/$D$35)*L42*(1+$C42),(($F$60-$D$35)/$D$35)*L42*(1+$C42))))+IF($F$60&gt;$E$35,0,IF($F$60&gt;$D$35,(($E$35-$F$60)/$D$35)*M42*(1+$C42),(($D$35-$F$60)/$D$35)*N42*(1+$C42)+($F$60/$D$35)*M42*(1+$C42)))</f>
        <v>0</v>
      </c>
      <c r="O71" s="42">
        <f>IF($F$60&gt;$O$35,0,IF($F$60&lt;$M$35,0,IF($F$60&gt;$N$35,(($O$35-$F$60)/$D$35)*D42*(1+$C42),(($F$60-$M$35)/$D$35)*D42*(1+$C42))))+IF($F$60&gt;$N$35,0,IF($F$60&lt;$L$35,0,IF($F$60&gt;$M$35,(($N$35-$F$60)/$D$35)*E42*(1+$C42),(($F$60-$L$35)/$D$35)*E42*(1+$C42))))+IF($F$60&gt;$M$35,0,IF($F$60&lt;$K$35,0,IF($F$60&gt;$L$35,(($M$35-$F$60)/$D$35)*F42*(1+$C42),(($F$60-$K$35)/$D$35)*F42*(1+$C42))))+IF($F$60&gt;$L$35,0,IF($F$60&lt;$J$35,0,IF($F$60&gt;$K$35,(($L$35-$F$60)/$D$35)*G42*(1+$C42),(($F$60-$J$35)/$D$35)*G42*(1+$C42))))+IF($F$60&gt;$K$35,0,IF($F$60&lt;$I$35,0,IF($F$60&gt;$J$35,(($K$35-$F$60)/$D$35)*H42*(1+$C42),(($F$60-$I$35)/$D$35)*H42*(1+$C42))))+IF($F$60&gt;$J$35,0,IF($F$60&lt;$H$35,0,IF($F$60&gt;$I$35,(($J$35-$F$60)/$D$35)*I42*(1+$C42),(($F$60-$H$35)/$D$35)*I42*(1+$C42))))+IF($F$60&gt;$I$35,0,IF($F$60&lt;$G$35,0,IF($F$60&gt;$H$35,(($I$35-$F$60)/$D$35)*J42*(1+$C42),(($F$60-$G$35)/$D$35)*J42*(1+$C42))))+IF($F$60&gt;$H$35,0,IF($F$60&lt;$F$35,0,IF($F$60&gt;$G$35,(($H$35-$F$60)/$D$35)*K42*(1+$C42),(($F$60-$F$35)/$D$35)*K42*(1+$C42))))+IF($F$60&gt;$G$35,0,IF($F$60&lt;$E$35,0,IF($F$60&gt;$F$35,(($G$35-$F$60)/$D$35)*L42*(1+$C42),(($F$60-$E$35)/$D$35)*L42*(1+$C42))))+IF($F$60&gt;$F$35,0,IF($F$60&lt;$D$35,0,IF($F$60&gt;$E$35,(($F$35-$F$60)/$D$35)*M42*(1+$C42),(($F$60-$D$35)/$D$35)*M42*(1+$C42))))+IF($F$60&gt;$E$35,0,IF($F$60&gt;$D$35,(($E$35-$F$60)/$D$35)*N42*(1+$C42),(($D$35-$F$60)/$D$35)*O42*(1+$C42)+($F$60/$D$35)*N42*(1+$C42)))</f>
        <v>0</v>
      </c>
      <c r="P71" s="45"/>
      <c r="Q71" s="45"/>
      <c r="R71" s="45"/>
    </row>
    <row r="72" spans="2:18">
      <c r="B72" s="87" t="s">
        <v>75</v>
      </c>
      <c r="C72" s="91"/>
      <c r="D72" s="94">
        <f t="shared" ref="D72:O72" si="12">SUM(D69:D71)</f>
        <v>0</v>
      </c>
      <c r="E72" s="95">
        <f t="shared" si="12"/>
        <v>0</v>
      </c>
      <c r="F72" s="95">
        <f t="shared" si="12"/>
        <v>0</v>
      </c>
      <c r="G72" s="95">
        <f t="shared" si="12"/>
        <v>0</v>
      </c>
      <c r="H72" s="95">
        <f t="shared" si="12"/>
        <v>0</v>
      </c>
      <c r="I72" s="95">
        <f t="shared" si="12"/>
        <v>0</v>
      </c>
      <c r="J72" s="95">
        <f t="shared" si="12"/>
        <v>0</v>
      </c>
      <c r="K72" s="95">
        <f t="shared" si="12"/>
        <v>0</v>
      </c>
      <c r="L72" s="95">
        <f t="shared" si="12"/>
        <v>0</v>
      </c>
      <c r="M72" s="95">
        <f t="shared" si="12"/>
        <v>0</v>
      </c>
      <c r="N72" s="95">
        <f t="shared" si="12"/>
        <v>0</v>
      </c>
      <c r="O72" s="96">
        <f t="shared" si="12"/>
        <v>0</v>
      </c>
      <c r="P72" s="45"/>
      <c r="Q72" s="45"/>
      <c r="R72" s="45"/>
    </row>
    <row r="73" spans="2:18">
      <c r="B73" s="57" t="s">
        <v>17</v>
      </c>
      <c r="C73" s="101">
        <f>IF($D$15="Continente",0.23,IF($D$15="Açores",0.16,IF($D$15="Madeira",0.22,0)))</f>
        <v>0.23</v>
      </c>
      <c r="D73" s="102">
        <f>IF($F$62&gt;$D$35,0,(($D$35-$F$62)/$D$35)*(D46+D50)*(1+$C46))</f>
        <v>0</v>
      </c>
      <c r="E73" s="42">
        <f>IF($F$62&gt;$E$35,0,IF($F$62&gt;$D$35,(($E$35-$F$62)/$D$35)*(D46+D50)*(1+$C46),($F$62/$D$35)*(D46+D50)*(1+$C46)+(($D$35-$F$62)/$D$35)*(E46+E50)*(1+$C46)))</f>
        <v>0</v>
      </c>
      <c r="F73" s="42">
        <f>IF($F$62&gt;$F$35,0,IF($F$62&lt;$D$35,0,IF($F$62&gt;$E$35,(($F$35-$F$62)/$D$35)*(D46+D50)*(1+C46),(($F$62-$D$35)/$D$35)*(D46+D50)*(1+C46))))+IF($F$62&gt;$E$35,0,IF($F$62&gt;$D$35,(($E$35-$F$62)/$D$35)*(E46+E50)*(1+$C46),(($D$35-$F$62)/$D$35)*(F46+F50)*(1+$C46)+($F$62/$D$35)*(E46+E50)*(1+$C46)))</f>
        <v>0</v>
      </c>
      <c r="G73" s="42">
        <f>IF($F$62&gt;$G$35,0,IF($F$62&lt;$E$35,0,IF($F$62&gt;$F$35,(($G$35-$F$62)/$D$35)*(D46+D50)*(1+C46),(($F$62-$E$35)/$D$35)*(D46+D50)*(1+C46))))+IF($F$62&gt;$F$35,0,IF($F$62&lt;$D$35,0,IF($F$62&gt;$E$35,(($F$35-$F$62)/$D$35)*(E46+E50)*(1+C46),(($F$62-$D$35)/$D$35)*(E46+E50)*(1+C46))))+IF($F$62&gt;$E$35,0,IF($F$62&gt;$D$35,(($E$35-$F$62)/$D$35)*(F46+F50)*(1+$C46),(($D$35-$F$62)/$D$35)*(G46+G50)*(1+$C46)+($F$62/$D$35)*(F46+F50)*(1+$C46)))</f>
        <v>0</v>
      </c>
      <c r="H73" s="42">
        <f>IF($F$62&gt;$H$35,0,IF($F$62&lt;$F$35,0,IF($F$62&gt;$G$35,(($H$35-$F$62)/$D$35)*(D46+D50)*(1+C46),(($F$62-$F$35)/$D$35)*(D46+D50)*(1+C46))))+IF($F$62&gt;$G$35,0,IF($F$62&lt;$E$35,0,IF($F$62&gt;$F$35,(($G$35-$F$62)/$D$35)*(E46+E50)*(1+C46),(($F$62-$E$35)/$D$35)*(E46+E50)*(1+C46))))+IF($F$62&gt;$F$35,0,IF($F$62&lt;$D$35,0,IF($F$62&gt;$E$35,(($F$35-$F$62)/$D$35)*(F46+F50)*(1+C46),(($F$62-$D$35)/$D$35)*(F46+F50)*(1+C46))))+IF($F$62&gt;$E$35,0,IF($F$62&gt;$D$35,(($E$35-$F$62)/$D$35)*(G46+G50)*(1+$C46),(($D$35-$F$62)/$D$35)*(H46+H50)*(1+$C46)+($F$62/$D$35)*(G46+G50)*(1+$C46)))</f>
        <v>0</v>
      </c>
      <c r="I73" s="42">
        <f>IF($F$62&gt;$I$35,0,IF($F$62&lt;$G$35,0,IF($F$62&gt;$H$35,(($I$35-$F$62)/$D$35)*(D46+D50)*(1+$C46),(($F$62-$G$35)/$D$35)*(D46+D50)*(1+$C46))))+IF($F$62&gt;$H$35,0,IF($F$62&lt;$F$35,0,IF($F$62&gt;$G$35,(($H$35-$F$62)/$D$35)*(E46+E50)*(1+$C46),(($F$62-$F$35)/$D$35)*(E46+E50)*(1+$C46))))+IF($F$62&gt;$G$35,0,IF($F$62&lt;$E$35,0,IF($F$62&gt;$F$35,(($G$35-$F$62)/$D$35)*(F46+F50)*(1+$C46),(($F$62-$E$35)/$D$35)*(F46+F50)*(1+$C46))))+IF($F$62&gt;$F$35,0,IF($F$62&lt;$D$35,0,IF($F$62&gt;$E$35,(($F$35-$F$62)/$D$35)*(G46+G50)*(1+$C46),(($F$62-$D$35)/$D$35)*(G46+G50)*(1+$C46))))+IF($F$62&gt;$E$35,0,IF($F$62&gt;$D$35,(($E$35-$F$62)/$D$35)*(H46+H50)*(1+$C46),(($D$35-$F$62)/$D$35)*(I46+I50)*(1+$C46)+($F$62/$D$35)*(H46+H50)*(1+$C46)))</f>
        <v>0</v>
      </c>
      <c r="J73" s="42">
        <f>IF($F$62&gt;$J$35,0,IF($F$62&lt;$H$35,0,IF($F$62&gt;$I$35,(($J$35-$F$62)/$D$35)*(D46+D50)*(1+$C46),(($F$62-$H$35)/$D$35)*(D46+D50)*(1+$C46))))+IF($F$62&gt;$I$35,0,IF($F$62&lt;$G$35,0,IF($F$62&gt;$H$35,(($I$35-$F$62)/$D$35)*(E46+E50)*(1+$C46),(($F$62-$G$35)/$D$35)*(E46+E50)*(1+$C46))))+IF($F$62&gt;$H$35,0,IF($F$62&lt;$F$35,0,IF($F$62&gt;$G$35,(($H$35-$F$62)/$D$35)*(F46+F50)*(1+$C46),(($F$62-$F$35)/$D$35)*(F46+F50)*(1+$C46))))+IF($F$62&gt;$G$35,0,IF($F$62&lt;$E$35,0,IF($F$62&gt;$F$35,(($G$35-$F$62)/$D$35)*(G46+G50)*(1+$C46),(($F$62-$E$35)/$D$35)*(G46+G50)*(1+$C46))))+IF($F$62&gt;$F$35,0,IF($F$62&lt;$D$35,0,IF($F$62&gt;$E$35,(($F$35-$F$62)/$D$35)*(H46+H50)*(1+$C46),(($F$62-$D$35)/$D$35)*(H46+H50)*(1+$C46))))+IF($F$62&gt;$E$35,0,IF($F$62&gt;$D$35,(($E$35-$F$62)/$D$35)*(I46+I50)*(1+$C46),(($D$35-$F$62)/$D$35)*(J46+J50)*(1+$C46)+($F$62/$D$35)*(I46+I50)*(1+$C46)))</f>
        <v>0</v>
      </c>
      <c r="K73" s="42">
        <f>IF($F$62&gt;$K$35,0,IF($F$62&lt;$I$35,0,IF($F$62&gt;$J$35,(($K$35-$F$62)/$D$35)*(D46+D50)*(1+$C46),(($F$62-$I$35)/$D$35)*(D46+D50)*(1+$C46))))+IF($F$62&gt;$J$35,0,IF($F$62&lt;$H$35,0,IF($F$62&gt;$I$35,(($J$35-$F$62)/$D$35)*(E46+E50)*(1+$C46),(($F$62-$H$35)/$D$35)*(E46+E50)*(1+$C46))))+IF($F$62&gt;$I$35,0,IF($F$62&lt;$G$35,0,IF($F$62&gt;$H$35,(($I$35-$F$62)/$D$35)*(F46+F50)*(1+$C46),(($F$62-$G$35)/$D$35)*(F46+F50)*(1+$C46))))+IF($F$62&gt;$H$35,0,IF($F$62&lt;$F$35,0,IF($F$62&gt;$G$35,(($H$35-$F$62)/$D$35)*(G46+G50)*(1+$C46),(($F$62-$F$35)/$D$35)*(G46+G50)*(1+$C46))))+IF($F$62&gt;$G$35,0,IF($F$62&lt;$E$35,0,IF($F$62&gt;$F$35,(($G$35-$F$62)/$D$35)*(H46+H50)*(1+$C46),(($F$62-$E$35)/$D$35)*(H46+H50)*(1+$C46))))+IF($F$62&gt;$F$35,0,IF($F$62&lt;$D$35,0,IF($F$62&gt;$E$35,(($F$35-$F$62)/$D$35)*(I46+I50)*(1+$C46),(($F$62-$D$35)/$D$35)*(I46+I50)*(1+$C46))))+IF($F$62&gt;$E$35,0,IF($F$62&gt;$D$35,(($E$35-$F$62)/$D$35)*(J46+J50)*(1+$C46),(($D$35-$F$62)/$D$35)*(K46+K50)*(1+$C46)+($F$62/$D$35)*(J46+J50)*(1+$C46)))</f>
        <v>0</v>
      </c>
      <c r="L73" s="42">
        <f>IF($F$62&gt;$L$35,0,IF($F$62&lt;$J$35,0,IF($F$62&gt;$K$35,(($L$35-$F$62)/$D$35)*(D46+D50)*(1+$C46),(($F$62-$J$35)/$D$35)*(D46+D50)*(1+$C46))))+IF($F$62&gt;$K$35,0,IF($F$62&lt;$I$35,0,IF($F$62&gt;$J$35,(($K$35-$F$62)/$D$35)*(E46+E50)*(1+$C46),(($F$62-$I$35)/$D$35)*(E46+E50)*(1+$C46))))+IF($F$62&gt;$J$35,0,IF($F$62&lt;$H$35,0,IF($F$62&gt;$I$35,(($J$35-$F$62)/$D$35)*(F46+F50)*(1+$C46),(($F$62-$H$35)/$D$35)*(F46+F50)*(1+$C46))))+IF($F$62&gt;$I$35,0,IF($F$62&lt;$G$35,0,IF($F$62&gt;$H$35,(($I$35-$F$62)/$D$35)*(G46+G50)*(1+$C46),(($F$62-$G$35)/$D$35)*(G46+G50)*(1+$C46))))+IF($F$62&gt;$H$35,0,IF($F$62&lt;$F$35,0,IF($F$62&gt;$G$35,(($H$35-$F$62)/$D$35)*(H46+H50)*(1+$C46),(($F$62-$F$35)/$D$35)*(H46+H50)*(1+$C46))))+IF($F$62&gt;$G$35,0,IF($F$62&lt;$E$35,0,IF($F$62&gt;$F$35,(($G$35-$F$62)/$D$35)*(I46+I50)*(1+$C46),(($F$62-$E$35)/$D$35)*(I46+I50)*(1+$C46))))+IF($F$62&gt;$F$35,0,IF($F$62&lt;$D$35,0,IF($F$62&gt;$E$35,(($F$35-$F$62)/$D$35)*(J46+J50)*(1+$C46),(($F$62-$D$35)/$D$35)*(J46+J50)*(1+$C46))))+IF($F$62&gt;$E$35,0,IF($F$62&gt;$D$35,(($E$35-$F$62)/$D$35)*(K46+K50)*(1+$C46),(($D$35-$F$62)/$D$35)*(L46+L50)*(1+$C46)+($F$62/$D$35)*(K46+K50)*(1+$C46)))</f>
        <v>0</v>
      </c>
      <c r="M73" s="42">
        <f>IF($F$62&gt;$M$35,0,IF($F$62&lt;$K$35,0,IF($F$62&gt;$L$35,(($M$35-$F$62)/$D$35)*(D46+D50)*(1+$C46),(($F$62-$K$35)/$D$35)*(D46+D50)*(1+$C46))))+IF($F$62&gt;$L$35,0,IF($F$62&lt;$J$35,0,IF($F$62&gt;$K$35,(($L$35-$F$62)/$D$35)*(E46+E50)*(1+$C46),(($F$62-$J$35)/$D$35)*(E46+E50)*(1+$C46))))+IF($F$62&gt;$K$35,0,IF($F$62&lt;$I$35,0,IF($F$62&gt;$J$35,(($K$35-$F$62)/$D$35)*(F46+F50)*(1+$C46),(($F$62-$I$35)/$D$35)*(F46+F50)*(1+$C46))))+IF($F$62&gt;$J$35,0,IF($F$62&lt;$H$35,0,IF($F$62&gt;$I$35,(($J$35-$F$62)/$D$35)*(G46+G50)*(1+$C46),(($F$62-$H$35)/$D$35)*(G46+G50)*(1+$C46))))+IF($F$62&gt;$I$35,0,IF($F$62&lt;$G$35,0,IF($F$62&gt;$H$35,(($I$35-$F$62)/$D$35)*(H46+H50)*(1+$C46),(($F$62-$G$35)/$D$35)*(H46+H50)*(1+$C46))))+IF($F$62&gt;$H$35,0,IF($F$62&lt;$F$35,0,IF($F$62&gt;$G$35,(($H$35-$F$62)/$D$35)*(I46+I50)*(1+$C46),(($F$62-$F$35)/$D$35)*(I46+I50)*(1+$C46))))+IF($F$62&gt;$G$35,0,IF($F$62&lt;$E$35,0,IF($F$62&gt;$F$35,(($G$35-$F$62)/$D$35)*(J46+J50)*(1+$C46),(($F$62-$E$35)/$D$35)*(J46+J50)*(1+$C46))))+IF($F$62&gt;$F$35,0,IF($F$62&lt;$D$35,0,IF($F$62&gt;$E$35,(($F$35-$F$62)/$D$35)*(K46+K50)*(1+$C46),(($F$62-$D$35)/$D$35)*(K46+K50)*(1+$C46))))+IF($F$62&gt;$E$35,0,IF($F$62&gt;$D$35,(($E$35-$F$62)/$D$35)*(L46+L50)*(1+$C46),(($D$35-$F$62)/$D$35)*(M46+M50)*(1+$C46)+($F$62/$D$35)*(L46+L50)*(1+$C46)))</f>
        <v>0</v>
      </c>
      <c r="N73" s="42">
        <f>IF($F$62&gt;$N$35,0,IF($F$62&lt;$L$35,0,IF($F$62&gt;$M$35,(($N$35-$F$62)/$D$35)*(D46+D50)*(1+$C46),(($F$62-$L$35)/$D$35)*(D46+D50)*(1+$C46))))+IF($F$62&gt;$M$35,0,IF($F$62&lt;$K$35,0,IF($F$62&gt;$L$35,(($M$35-$F$62)/$D$35)*(E46+E50)*(1+$C46),(($F$62-$K$35)/$D$35)*(E46+E50)*(1+$C46))))+IF($F$62&gt;$L$35,0,IF($F$62&lt;$J$35,0,IF($F$62&gt;$K$35,(($L$35-$F$62)/$D$35)*(F46+F50)*(1+$C46),(($F$62-$J$35)/$D$35)*(F46+F50)*(1+$C46))))+IF($F$62&gt;$K$35,0,IF($F$62&lt;$I$35,0,IF($F$62&gt;$J$35,(($K$35-$F$62)/$D$35)*(G46+G50)*(1+$C46),(($F$62-$I$35)/$D$35)*(G46+G50)*(1+$C46))))+IF($F$62&gt;$J$35,0,IF($F$62&lt;$H$35,0,IF($F$62&gt;$I$35,(($J$35-$F$62)/$D$35)*(H46+H50)*(1+$C46),(($F$62-$H$35)/$D$35)*(H46+H50)*(1+$C46))))+IF($F$62&gt;$I$35,0,IF($F$62&lt;$G$35,0,IF($F$62&gt;$H$35,(($I$35-$F$62)/$D$35)*(I46+I50)*(1+$C46),(($F$62-$G$35)/$D$35)*(I46+I50)*(1+$C46))))+IF($F$62&gt;$H$35,0,IF($F$62&lt;$F$35,0,IF($F$62&gt;$G$35,(($H$35-$F$62)/$D$35)*(J46+J50)*(1+$C46),(($F$62-$F$35)/$D$35)*(J46+J50)*(1+$C46))))+IF($F$62&gt;$G$35,0,IF($F$62&lt;$E$35,0,IF($F$62&gt;$F$35,(($G$35-$F$62)/$D$35)*(K46+K50)*(1+$C46),(($F$62-$E$35)/$D$35)*(K46+K50)*(1+$C46))))+IF($F$62&gt;$F$35,0,IF($F$62&lt;$D$35,0,IF($F$62&gt;$E$35,(($F$35-$F$62)/$D$35)*(L46+L50)*(1+$C46),(($F$62-$D$35)/$D$35)*(L46+L50)*(1+$C46))))+IF($F$62&gt;$E$35,0,IF($F$62&gt;$D$35,(($E$35-$F$62)/$D$35)*(M46+M50)*(1+$C46),(($D$35-$F$62)/$D$35)*(N46+N50)*(1+$C46)+($F$62/$D$35)*(M46+M50)*(1+$C46)))</f>
        <v>0</v>
      </c>
      <c r="O73" s="99">
        <f>IF($F$62&gt;$O$35,0,IF($F$62&lt;$M$35,0,IF($F$62&gt;$N$35,(($O$35-$F$62)/$D$35)*(D46+D50)*(1+$C46),(($F$62-$M$35)/$D$35)*(D46+D50)*(1+$C46))))+IF($F$62&gt;$N$35,0,IF($F$62&lt;$L$35,0,IF($F$62&gt;$M$35,(($N$35-$F$62)/$D$35)*(E46+E50)*(1+$C46),(($F$62-$L$35)/$D$35)*(E46+E50)*(1+$C46))))+IF($F$62&gt;$M$35,0,IF($F$62&lt;$K$35,0,IF($F$62&gt;$L$35,(($M$35-$F$62)/$D$35)*(F46+F50)*(1+$C46),(($F$62-$K$35)/$D$35)*(F46+F50)*(1+$C46))))+IF($F$62&gt;$L$35,0,IF($F$62&lt;$J$35,0,IF($F$62&gt;$K$35,(($L$35-$F$62)/$D$35)*(G46+G50)*(1+$C46),(($F$62-$J$35)/$D$35)*(G46+G50)*(1+$C46))))+IF($F$62&gt;$K$35,0,IF($F$62&lt;$I$35,0,IF($F$62&gt;$J$35,(($K$35-$F$62)/$D$35)*(H46+H50)*(1+$C46),(($F$62-$I$35)/$D$35)*(H46+H50)*(1+$C46))))+IF($F$62&gt;$J$35,0,IF($F$62&lt;$H$35,0,IF($F$62&gt;$I$35,(($J$35-$F$62)/$D$35)*(I46+I50)*(1+$C46),(($F$62-$H$35)/$D$35)*(I46+I50)*(1+$C46))))+IF($F$62&gt;$I$35,0,IF($F$62&lt;$G$35,0,IF($F$62&gt;$H$35,(($I$35-$F$62)/$D$35)*(J46+J50)*(1+$C46),(($F$62-$G$35)/$D$35)*(J46+J50)*(1+$C46))))+IF($F$62&gt;$H$35,0,IF($F$62&lt;$F$35,0,IF($F$62&gt;$G$35,(($H$35-$F$62)/$D$35)*(K46+K50)*(1+$C46),(($F$62-$F$35)/$D$35)*(K46+K50)*(1+$C46))))+IF($F$62&gt;$G$35,0,IF($F$62&lt;$E$35,0,IF($F$62&gt;$F$35,(($G$35-$F$62)/$D$35)*(L46+L50)*(1+$C46),(($F$62-$E$35)/$D$35)*(L46+L50)*(1+$C46))))+IF($F$62&gt;$F$35,0,IF($F$62&lt;$D$35,0,IF($F$62&gt;$E$35,(($F$35-$F$62)/$D$35)*(M46+M50)*(1+$C46),(($F$62-$D$35)/$D$35)*(M46+M50)*(1+$C46))))+IF($F$62&gt;$E$35,0,IF($F$62&gt;$D$35,(($E$35-$F$62)/$D$35)*(N46+N50)*(1+$C46),(($D$35-$F$62)/$D$35)*(O46+O50)*(1+$C46)+($F$62/$D$35)*(N46+N50)*(1+$C46)))</f>
        <v>0</v>
      </c>
      <c r="P73" s="45"/>
      <c r="Q73" s="45"/>
      <c r="R73" s="45"/>
    </row>
    <row r="74" spans="2:18">
      <c r="B74" s="57" t="s">
        <v>17</v>
      </c>
      <c r="C74" s="74">
        <f>IF($D$15="Continente",0.13,IF($D$15="Açores",0.09,IF($D$15="Madeira",0.12,0)))</f>
        <v>0.13</v>
      </c>
      <c r="D74" s="42">
        <f>IF($F$62&gt;$D$35,0,(($D$35-$F$62)/$D$35)*(D47+D51)*(1+$C47))</f>
        <v>0</v>
      </c>
      <c r="E74" s="42">
        <f>IF($F$62&gt;$E$35,0,IF($F$62&gt;$D$35,(($E$35-$F$62)/$D$35)*(D47+D51)*(1+$C47),($F$62/$D$35)*(D47+D51)*(1+$C47)+(($D$35-$F$62)/$D$35)*(E47+E51)*(1+$C47)))</f>
        <v>0</v>
      </c>
      <c r="F74" s="42">
        <f>IF($F$62&gt;$F$35,0,IF($F$62&lt;$D$35,0,IF($F$62&gt;$E$35,(($F$35-$F$62)/$D$35)*(D47+D51)*(1+C47),(($F$62-$D$35)/$D$35)*(D47+D51)*(1+C47))))+IF($F$62&gt;$E$35,0,IF($F$62&gt;$D$35,(($E$35-$F$62)/$D$35)*(E47+E51)*(1+$C47),(($D$35-$F$62)/$D$35)*(F47+F51)*(1+$C47)+($F$62/$D$35)*(E47+E51)*(1+$C47)))</f>
        <v>0</v>
      </c>
      <c r="G74" s="42">
        <f>IF($F$62&gt;$G$35,0,IF($F$62&lt;$E$35,0,IF($F$62&gt;$F$35,(($G$35-$F$62)/$D$35)*(D47+D51)*(1+C47),(($F$62-$E$35)/$D$35)*(D47+D51)*(1+C47))))+IF($F$62&gt;$F$35,0,IF($F$62&lt;$D$35,0,IF($F$62&gt;$E$35,(($F$35-$F$62)/$D$35)*(E47+E51)*(1+C47),(($F$62-$D$35)/$D$35)*(E47+E51)*(1+C47))))+IF($F$62&gt;$E$35,0,IF($F$62&gt;$D$35,(($E$35-$F$62)/$D$35)*(F47+F51)*(1+$C47),(($D$35-$F$62)/$D$35)*(G47+G51)*(1+$C47)+($F$62/$D$35)*(F47+F51)*(1+$C47)))</f>
        <v>0</v>
      </c>
      <c r="H74" s="42">
        <f>IF($F$62&gt;$H$35,0,IF($F$62&lt;$F$35,0,IF($F$62&gt;$G$35,(($H$35-$F$62)/$D$35)*(D47+D51)*(1+C47),(($F$62-$F$35)/$D$35)*(D47+D51)*(1+C47))))+IF($F$62&gt;$G$35,0,IF($F$62&lt;$E$35,0,IF($F$62&gt;$F$35,(($G$35-$F$62)/$D$35)*(E47+E51)*(1+C47),(($F$62-$E$35)/$D$35)*(E47+E51)*(1+C47))))+IF($F$62&gt;$F$35,0,IF($F$62&lt;$D$35,0,IF($F$62&gt;$E$35,(($F$35-$F$62)/$D$35)*(F47+F51)*(1+C47),(($F$62-$D$35)/$D$35)*(F47+F51)*(1+C47))))+IF($F$62&gt;$E$35,0,IF($F$62&gt;$D$35,(($E$35-$F$62)/$D$35)*(G47+G51)*(1+$C47),(($D$35-$F$62)/$D$35)*(H47+H51)*(1+$C47)+($F$62/$D$35)*(G47+G51)*(1+$C47)))</f>
        <v>0</v>
      </c>
      <c r="I74" s="42">
        <f>IF($F$62&gt;$I$35,0,IF($F$62&lt;$G$35,0,IF($F$62&gt;$H$35,(($I$35-$F$62)/$D$35)*(D47+D51)*(1+C47),(($F$62-$G$35)/$D$35)*(D47+D51)*(1+C47))))+IF($F$62&gt;$H$35,0,IF($F$62&lt;$F$35,0,IF($F$62&gt;$G$35,(($H$35-$F$62)/$D$35)*(E47+E51)*(1+C47),(($F$62-$F$35)/$D$35)*(E47+E51)*(1+C47))))+IF($F$62&gt;$G$35,0,IF($F$62&lt;$E$35,0,IF($F$62&gt;$F$35,(($G$35-$F$62)/$D$35)*(F47+F51)*(1+C47),(($F$62-$E$35)/$D$35)*(F47+F51)*(1+C47))))+IF($F$62&gt;$F$35,0,IF($F$62&lt;$D$35,0,IF($F$62&gt;$E$35,(($F$35-$F$62)/$D$35)*(G47+G51)*(1+C47),(($F$62-$D$35)/$D$35)*(G47+G51)*(1+C47))))+IF($F$62&gt;$E$35,0,IF($F$62&gt;$D$35,(($E$35-$F$62)/$D$35)*(H47+H51)*(1+$C47),(($D$35-$F$62)/$D$35)*(I47+I51)*(1+$C47)+($F$62/$D$35)*(H47+H51)*(1+$C47)))</f>
        <v>0</v>
      </c>
      <c r="J74" s="42">
        <f>IF($F$62&gt;$J$35,0,IF($F$62&lt;$H$35,0,IF($F$62&gt;$I$35,(($J$35-$F$62)/$D$35)*(D47+D51)*(1+$C47),(($F$62-$H$35)/$D$35)*(D47+D51)*(1+$C47))))+IF($F$62&gt;$I$35,0,IF($F$62&lt;$G$35,0,IF($F$62&gt;$H$35,(($I$35-$F$62)/$D$35)*(E47+E51)*(1+$C47),(($F$62-$G$35)/$D$35)*(E47+E51)*(1+$C47))))+IF($F$62&gt;$H$35,0,IF($F$62&lt;$F$35,0,IF($F$62&gt;$G$35,(($H$35-$F$62)/$D$35)*(F47+F51)*(1+$C47),(($F$62-$F$35)/$D$35)*(F47+F51)*(1+$C47))))+IF($F$62&gt;$G$35,0,IF($F$62&lt;$E$35,0,IF($F$62&gt;$F$35,(($G$35-$F$62)/$D$35)*(G47+G51)*(1+$C47),(($F$62-$E$35)/$D$35)*(G47+G51)*(1+$C47))))+IF($F$62&gt;$F$35,0,IF($F$62&lt;$D$35,0,IF($F$62&gt;$E$35,(($F$35-$F$62)/$D$35)*(H47+H51)*(1+$C47),(($F$62-$D$35)/$D$35)*(H47+H51)*(1+$C47))))+IF($F$62&gt;$E$35,0,IF($F$62&gt;$D$35,(($E$35-$F$62)/$D$35)*(I47+I51)*(1+$C47),(($D$35-$F$62)/$D$35)*(J47+J51)*(1+$C47)+($F$62/$D$35)*(I47+I51)*(1+$C47)))</f>
        <v>0</v>
      </c>
      <c r="K74" s="42">
        <f>IF($F$62&gt;$K$35,0,IF($F$62&lt;$I$35,0,IF($F$62&gt;$J$35,(($K$35-$F$62)/$D$35)*(D47+D51)*(1+$C47),(($F$62-$I$35)/$D$35)*(D47+D51)*(1+$C47))))+IF($F$62&gt;$J$35,0,IF($F$62&lt;$H$35,0,IF($F$62&gt;$I$35,(($J$35-$F$62)/$D$35)*(E47+E51)*(1+$C47),(($F$62-$H$35)/$D$35)*(E47+E51)*(1+$C47))))+IF($F$62&gt;$I$35,0,IF($F$62&lt;$G$35,0,IF($F$62&gt;$H$35,(($I$35-$F$62)/$D$35)*(F47+F51)*(1+$C47),(($F$62-$G$35)/$D$35)*(F47+F51)*(1+$C47))))+IF($F$62&gt;$H$35,0,IF($F$62&lt;$F$35,0,IF($F$62&gt;$G$35,(($H$35-$F$62)/$D$35)*(G47+G51)*(1+$C47),(($F$62-$F$35)/$D$35)*(G47+G51)*(1+$C47))))+IF($F$62&gt;$G$35,0,IF($F$62&lt;$E$35,0,IF($F$62&gt;$F$35,(($G$35-$F$62)/$D$35)*(H47+H51)*(1+$C47),(($F$62-$E$35)/$D$35)*(H47+H51)*(1+$C47))))+IF($F$62&gt;$F$35,0,IF($F$62&lt;$D$35,0,IF($F$62&gt;$E$35,(($F$35-$F$62)/$D$35)*(I47+I51)*(1+$C47),(($F$62-$D$35)/$D$35)*(I47+I51)*(1+$C47))))+IF($F$62&gt;$E$35,0,IF($F$62&gt;$D$35,(($E$35-$F$62)/$D$35)*(J47+J51)*(1+$C47),(($D$35-$F$62)/$D$35)*(K47+K51)*(1+$C47)+($F$62/$D$35)*(J47+J51)*(1+$C47)))</f>
        <v>0</v>
      </c>
      <c r="L74" s="42">
        <f>IF($F$62&gt;$L$35,0,IF($F$62&lt;$J$35,0,IF($F$62&gt;$K$35,(($L$35-$F$62)/$D$35)*(D47+D51)*(1+$C47),(($F$62-$J$35)/$D$35)*(D47+D51)*(1+$C47))))+IF($F$62&gt;$K$35,0,IF($F$62&lt;$I$35,0,IF($F$62&gt;$J$35,(($K$35-$F$62)/$D$35)*(E47+E51)*(1+$C47),(($F$62-$I$35)/$D$35)*(E47+E51)*(1+$C47))))+IF($F$62&gt;$J$35,0,IF($F$62&lt;$H$35,0,IF($F$62&gt;$I$35,(($J$35-$F$62)/$D$35)*(F47+F51)*(1+$C47),(($F$62-$H$35)/$D$35)*(F47+F51)*(1+$C47))))+IF($F$62&gt;$I$35,0,IF($F$62&lt;$G$35,0,IF($F$62&gt;$H$35,(($I$35-$F$62)/$D$35)*(G47+G51)*(1+$C47),(($F$62-$G$35)/$D$35)*(G47+G51)*(1+$C47))))+IF($F$62&gt;$H$35,0,IF($F$62&lt;$F$35,0,IF($F$62&gt;$G$35,(($H$35-$F$62)/$D$35)*(H47+H51)*(1+$C47),(($F$62-$F$35)/$D$35)*(H47+H51)*(1+$C47))))+IF($F$62&gt;$G$35,0,IF($F$62&lt;$E$35,0,IF($F$62&gt;$F$35,(($G$35-$F$62)/$D$35)*(I47+I51)*(1+$C47),(($F$62-$E$35)/$D$35)*(I47+I51)*(1+$C47))))+IF($F$62&gt;$F$35,0,IF($F$62&lt;$D$35,0,IF($F$62&gt;$E$35,(($F$35-$F$62)/$D$35)*(J47+J51)*(1+$C47),(($F$62-$D$35)/$D$35)*(J47+J51)*(1+$C47))))+IF($F$62&gt;$E$35,0,IF($F$62&gt;$D$35,(($E$35-$F$62)/$D$35)*(K47+K51)*(1+$C47),(($D$35-$F$62)/$D$35)*(L47+L51)*(1+$C47)+($F$62/$D$35)*(K47+K51)*(1+$C47)))</f>
        <v>0</v>
      </c>
      <c r="M74" s="42">
        <f>IF($F$62&gt;$M$35,0,IF($F$62&lt;$K$35,0,IF($F$62&gt;$L$35,(($M$35-$F$62)/$D$35)*(D47+D51)*(1+$C47),(($F$62-$K$35)/$D$35)*(D47+D51)*(1+$C47))))+IF($F$62&gt;$L$35,0,IF($F$62&lt;$J$35,0,IF($F$62&gt;$K$35,(($L$35-$F$62)/$D$35)*(E47+E51)*(1+$C47),(($F$62-$J$35)/$D$35)*(E47+E51)*(1+$C47))))+IF($F$62&gt;$K$35,0,IF($F$62&lt;$I$35,0,IF($F$62&gt;$J$35,(($K$35-$F$62)/$D$35)*(F47+F51)*(1+$C47),(($F$62-$I$35)/$D$35)*(F47+F51)*(1+$C47))))+IF($F$62&gt;$J$35,0,IF($F$62&lt;$H$35,0,IF($F$62&gt;$I$35,(($J$35-$F$62)/$D$35)*(G47+G51)*(1+$C47),(($F$62-$H$35)/$D$35)*(G47+G51)*(1+$C47))))+IF($F$62&gt;$I$35,0,IF($F$62&lt;$G$35,0,IF($F$62&gt;$H$35,(($I$35-$F$62)/$D$35)*(H47+H51)*(1+$C47),(($F$62-$G$35)/$D$35)*(H47+H51)*(1+$C47))))+IF($F$62&gt;$H$35,0,IF($F$62&lt;$F$35,0,IF($F$62&gt;$G$35,(($H$35-$F$62)/$D$35)*(I47+I51)*(1+$C47),(($F$62-$F$35)/$D$35)*(I47+I51)*(1+$C47))))+IF($F$62&gt;$G$35,0,IF($F$62&lt;$E$35,0,IF($F$62&gt;$F$35,(($G$35-$F$62)/$D$35)*(J47+J51)*(1+$C47),(($F$62-$E$35)/$D$35)*(J47+J51)*(1+$C47))))+IF($F$62&gt;$F$35,0,IF($F$62&lt;$D$35,0,IF($F$62&gt;$E$35,(($F$35-$F$62)/$D$35)*(K47+K51)*(1+$C47),(($F$62-$D$35)/$D$35)*(K47+K51)*(1+$C47))))+IF($F$62&gt;$E$35,0,IF($F$62&gt;$D$35,(($E$35-$F$62)/$D$35)*(L47+L51)*(1+$C47),(($D$35-$F$62)/$D$35)*(M47+M51)*(1+$C47)+($F$62/$D$35)*(L47+L51)*(1+$C47)))</f>
        <v>0</v>
      </c>
      <c r="N74" s="42">
        <f>IF($F$62&gt;$N$35,0,IF($F$62&lt;$L$35,0,IF($F$62&gt;$M$35,(($N$35-$F$62)/$D$35)*(D47+D51)*(1+$C47),(($F$62-$L$35)/$D$35)*(D47+D51)*(1+$C47))))+IF($F$62&gt;$M$35,0,IF($F$62&lt;$K$35,0,IF($F$62&gt;$L$35,(($M$35-$F$62)/$D$35)*(E47+E51)*(1+$C47),(($F$62-$K$35)/$D$35)*(E47+E51)*(1+$C47))))+IF($F$62&gt;$L$35,0,IF($F$62&lt;$J$35,0,IF($F$62&gt;$K$35,(($L$35-$F$62)/$D$35)*(F47+F51)*(1+$C47),(($F$62-$J$35)/$D$35)*(F47+F51)*(1+$C47))))+IF($F$62&gt;$K$35,0,IF($F$62&lt;$I$35,0,IF($F$62&gt;$J$35,(($K$35-$F$62)/$D$35)*(G47+G51)*(1+$C47),(($F$62-$I$35)/$D$35)*(G47+G51)*(1+$C47))))+IF($F$62&gt;$J$35,0,IF($F$62&lt;$H$35,0,IF($F$62&gt;$I$35,(($J$35-$F$62)/$D$35)*(H47+H51)*(1+$C47),(($F$62-$H$35)/$D$35)*(H47+H51)*(1+$C47))))+IF($F$62&gt;$I$35,0,IF($F$62&lt;$G$35,0,IF($F$62&gt;$H$35,(($I$35-$F$62)/$D$35)*(I47+I51)*(1+$C47),(($F$62-$G$35)/$D$35)*(I47+I51)*(1+$C47))))+IF($F$62&gt;$H$35,0,IF($F$62&lt;$F$35,0,IF($F$62&gt;$G$35,(($H$35-$F$62)/$D$35)*(J47+J51)*(1+$C47),(($F$62-$F$35)/$D$35)*(J47+J51)*(1+$C47))))+IF($F$62&gt;$G$35,0,IF($F$62&lt;$E$35,0,IF($F$62&gt;$F$35,(($G$35-$F$62)/$D$35)*(K47+K51)*(1+$C47),(($F$62-$E$35)/$D$35)*(K47+K51)*(1+$C47))))+IF($F$62&gt;$F$35,0,IF($F$62&lt;$D$35,0,IF($F$62&gt;$E$35,(($F$35-$F$62)/$D$35)*(L47+L51)*(1+$C47),(($F$62-$D$35)/$D$35)*(L47+L51)*(1+$C47))))+IF($F$62&gt;$E$35,0,IF($F$62&gt;$D$35,(($E$35-$F$62)/$D$35)*(M47+M51)*(1+$C47),(($D$35-$F$62)/$D$35)*(N47+N51)*(1+$C47)+($F$62/$D$35)*(M47+M51)*(1+$C47)))</f>
        <v>0</v>
      </c>
      <c r="O74" s="99">
        <f>IF($F$62&gt;$O$35,0,IF($F$62&lt;$M$35,0,IF($F$62&gt;$N$35,(($O$35-$F$62)/$D$35)*(D47+D51)*(1+$C47),(($F$62-$M$35)/$D$35)*(D47+D51)*(1+$C47))))+IF($F$62&gt;$N$35,0,IF($F$62&lt;$L$35,0,IF($F$62&gt;$M$35,(($N$35-$F$62)/$D$35)*(E47+E51)*(1+$C47),(($F$62-$L$35)/$D$35)*(E47+E51)*(1+$C47))))+IF($F$62&gt;$M$35,0,IF($F$62&lt;$K$35,0,IF($F$62&gt;$L$35,(($M$35-$F$62)/$D$35)*(F47+F51)*(1+$C47),(($F$62-$K$35)/$D$35)*(F47+F51)*(1+$C47))))+IF($F$62&gt;$L$35,0,IF($F$62&lt;$J$35,0,IF($F$62&gt;$K$35,(($L$35-$F$62)/$D$35)*(G47+G51)*(1+$C47),(($F$62-$J$35)/$D$35)*(G47+G51)*(1+$C47))))+IF($F$62&gt;$K$35,0,IF($F$62&lt;$I$35,0,IF($F$62&gt;$J$35,(($K$35-$F$62)/$D$35)*(H47+H51)*(1+$C47),(($F$62-$I$35)/$D$35)*(H47+H51)*(1+$C47))))+IF($F$62&gt;$J$35,0,IF($F$62&lt;$H$35,0,IF($F$62&gt;$I$35,(($J$35-$F$62)/$D$35)*(I47+I51)*(1+$C47),(($F$62-$H$35)/$D$35)*(I47+I51)*(1+$C47))))+IF($F$62&gt;$I$35,0,IF($F$62&lt;$G$35,0,IF($F$62&gt;$H$35,(($I$35-$F$62)/$D$35)*(J47+J51)*(1+$C47),(($F$62-$G$35)/$D$35)*(J47+J51)*(1+$C47))))+IF($F$62&gt;$H$35,0,IF($F$62&lt;$F$35,0,IF($F$62&gt;$G$35,(($H$35-$F$62)/$D$35)*(K47+K51)*(1+$C47),(($F$62-$F$35)/$D$35)*(K47+K51)*(1+$C47))))+IF($F$62&gt;$G$35,0,IF($F$62&lt;$E$35,0,IF($F$62&gt;$F$35,(($G$35-$F$62)/$D$35)*(L47+L51)*(1+$C47),(($F$62-$E$35)/$D$35)*(L47+L51)*(1+$C47))))+IF($F$62&gt;$F$35,0,IF($F$62&lt;$D$35,0,IF($F$62&gt;$E$35,(($F$35-$F$62)/$D$35)*(M47+M51)*(1+$C47),(($F$62-$D$35)/$D$35)*(M47+M51)*(1+$C47))))+IF($F$62&gt;$E$35,0,IF($F$62&gt;$D$35,(($E$35-$F$62)/$D$35)*(N47+N51)*(1+$C47),(($D$35-$F$62)/$D$35)*(O47+O51)*(1+$C47)+($F$62/$D$35)*(N47+N51)*(1+$C47)))</f>
        <v>0</v>
      </c>
      <c r="P74" s="45"/>
      <c r="Q74" s="45"/>
      <c r="R74" s="45"/>
    </row>
    <row r="75" spans="2:18">
      <c r="B75" s="154" t="s">
        <v>17</v>
      </c>
      <c r="C75" s="75">
        <f>IF($D$15="Continente",0.06,IF($D$15="Açores",0.04,IF($D$15="Madeira",0.05,0)))</f>
        <v>0.06</v>
      </c>
      <c r="D75" s="76">
        <f>IF($F$62&gt;$D$35,0,(($D$35-$F$62)/$D$35)*(D48+D52)*(1+$C48))</f>
        <v>0</v>
      </c>
      <c r="E75" s="76">
        <f>IF($F$62&gt;$E$35,0,IF($F$62&gt;$D$35,(($E$35-$F$62)/$D$35)*(D48+D52)*(1+$C48),($F$62/$D$35)*(D48+D52)*(1+$C48)+(($D$35-$F$62)/$D$35)*(E48+E52)*(1+$C48)))</f>
        <v>0</v>
      </c>
      <c r="F75" s="76">
        <f>IF($F$62&gt;$F$35,0,IF($F$62&lt;$D$35,0,IF($F$62&gt;$E$35,(($F$35-$F$62)/$D$35)*(D48+D52)*(1+C48),(($F$62-$D$35)/$D$35)*(D48+D52)*(1+C48))))+IF($F$62&gt;$E$35,0,IF($F$62&gt;$D$35,(($E$35-$F$62)/$D$35)*(E48+E52)*(1+$C48),(($D$35-$F$62)/$D$35)*(F48+F52)*(1+$C48)+($F$62/$D$35)*(E48+E52)*(1+$C48)))</f>
        <v>0</v>
      </c>
      <c r="G75" s="76">
        <f>IF($F$62&gt;$G$35,0,IF($F$62&lt;$E$35,0,IF($F$62&gt;$F$35,(($G$35-$F$62)/$D$35)*(D48+D52)*(1+C48),(($F$62-$E$35)/$D$35)*(D48+D52)*(1+C48))))+IF($F$62&gt;$F$35,0,IF($F$62&lt;$D$35,0,IF($F$62&gt;$E$35,(($F$35-$F$62)/$D$35)*(E48+E52)*(1+C48),(($F$62-$D$35)/$D$35)*(E48+E52)*(1+C48))))+IF($F$62&gt;$E$35,0,IF($F$62&gt;$D$35,(($E$35-$F$62)/$D$35)*(F48+F52)*(1+$C48),(($D$35-$F$62)/$D$35)*(G48+G52)*(1+$C48)+($F$62/$D$35)*(F48+F52)*(1+$C48)))</f>
        <v>0</v>
      </c>
      <c r="H75" s="76">
        <f>IF($F$62&gt;$H$35,0,IF($F$62&lt;$F$35,0,IF($F$62&gt;$G$35,(($H$35-$F$62)/$D$35)*(D48+D52)*(1+C48),(($F$62-$F$35)/$D$35)*(D48+D52)*(1+C48))))+IF($F$62&gt;$G$35,0,IF($F$62&lt;$E$35,0,IF($F$62&gt;$F$35,(($G$35-$F$62)/$D$35)*(E48+E52)*(1+C48),(($F$62-$E$35)/$D$35)*(E48+E52)*(1+C48))))+IF($F$62&gt;$F$35,0,IF($F$62&lt;$D$35,0,IF($F$62&gt;$E$35,(($F$35-$F$62)/$D$35)*(F48+F52)*(1+C48),(($F$62-$D$35)/$D$35)*(F48+F52)*(1+C48))))+IF($F$62&gt;$E$35,0,IF($F$62&gt;$D$35,(($E$35-$F$62)/$D$35)*(G48+G52)*(1+$C48),(($D$35-$F$62)/$D$35)*(H48+H52)*(1+$C48)+($F$62/$D$35)*(G48+G52)*(1+$C48)))</f>
        <v>0</v>
      </c>
      <c r="I75" s="76">
        <f>IF($F$62&gt;$I$35,0,IF($F$62&lt;$G$35,0,IF($F$62&gt;$H$35,(($I$35-$F$62)/$D$35)*(D48+D52)*(1+C48),(($F$62-$G$35)/$D$35)*(D48+D52)*(1+C48))))+IF($F$62&gt;$H$35,0,IF($F$62&lt;$F$35,0,IF($F$62&gt;$G$35,(($H$35-$F$62)/$D$35)*(E48+E52)*(1+C48),(($F$62-$F$35)/$D$35)*(E48+E52)*(1+C48))))+IF($F$62&gt;$G$35,0,IF($F$62&lt;$E$35,0,IF($F$62&gt;$F$35,(($G$35-$F$62)/$D$35)*(F48+F52)*(1+C48),(($F$62-$E$35)/$D$35)*(F48+F52)*(1+C48))))+IF($F$62&gt;$F$35,0,IF($F$62&lt;$D$35,0,IF($F$62&gt;$E$35,(($F$35-$F$62)/$D$35)*(G48+G52)*(1+C48),(($F$62-$D$35)/$D$35)*(G48+G52)*(1+C48))))+IF($F$62&gt;$E$35,0,IF($F$62&gt;$D$35,(($E$35-$F$62)/$D$35)*(H48+H52)*(1+$C48),(($D$35-$F$62)/$D$35)*(I48+I52)*(1+$C48)+($F$62/$D$35)*(H48+H52)*(1+$C48)))</f>
        <v>0</v>
      </c>
      <c r="J75" s="76">
        <f>IF($F$62&gt;$J$35,0,IF($F$62&lt;$H$35,0,IF($F$62&gt;$I$35,(($J$35-$F$62)/$D$35)*(D48+D52)*(1+$C48),(($F$62-$H$35)/$D$35)*(D48+D52)*(1+$C48))))+IF($F$62&gt;$I$35,0,IF($F$62&lt;$G$35,0,IF($F$62&gt;$H$35,(($I$35-$F$62)/$D$35)*(E48+E52)*(1+$C48),(($F$62-$G$35)/$D$35)*(E48+E52)*(1+$C48))))+IF($F$62&gt;$H$35,0,IF($F$62&lt;$F$35,0,IF($F$62&gt;$G$35,(($H$35-$F$62)/$D$35)*(F48+F52)*(1+$C48),(($F$62-$F$35)/$D$35)*(F48+F52)*(1+$C48))))+IF($F$62&gt;$G$35,0,IF($F$62&lt;$E$35,0,IF($F$62&gt;$F$35,(($G$35-$F$62)/$D$35)*(G48+G52)*(1+$C48),(($F$62-$E$35)/$D$35)*(G48+G52)*(1+$C48))))+IF($F$62&gt;$F$35,0,IF($F$62&lt;$D$35,0,IF($F$62&gt;$E$35,(($F$35-$F$62)/$D$35)*(H48+H52)*(1+$C48),(($F$62-$D$35)/$D$35)*(H48+H52)*(1+$C48))))+IF($F$62&gt;$E$35,0,IF($F$62&gt;$D$35,(($E$35-$F$62)/$D$35)*(I48+I52)*(1+$C48),(($D$35-$F$62)/$D$35)*(J48+J52)*(1+$C48)+($F$62/$D$35)*(I48+I52)*(1+$C48)))</f>
        <v>0</v>
      </c>
      <c r="K75" s="76">
        <f>IF($F$62&gt;$K$35,0,IF($F$62&lt;$I$35,0,IF($F$62&gt;$J$35,(($K$35-$F$62)/$D$35)*(D48+D52)*(1+$C48),(($F$62-$I$35)/$D$35)*(D48+D52)*(1+$C48))))+IF($F$62&gt;$J$35,0,IF($F$62&lt;$H$35,0,IF($F$62&gt;$I$35,(($J$35-$F$62)/$D$35)*(E48+E52)*(1+$C48),(($F$62-$H$35)/$D$35)*(E48+E52)*(1+$C48))))+IF($F$62&gt;$I$35,0,IF($F$62&lt;$G$35,0,IF($F$62&gt;$H$35,(($I$35-$F$62)/$D$35)*(F48+F52)*(1+$C48),(($F$62-$G$35)/$D$35)*(F48+F52)*(1+$C48))))+IF($F$62&gt;$H$35,0,IF($F$62&lt;$F$35,0,IF($F$62&gt;$G$35,(($H$35-$F$62)/$D$35)*(G48+G52)*(1+$C48),(($F$62-$F$35)/$D$35)*(G48+G52)*(1+$C48))))+IF($F$62&gt;$G$35,0,IF($F$62&lt;$E$35,0,IF($F$62&gt;$F$35,(($G$35-$F$62)/$D$35)*(H48+H52)*(1+$C48),(($F$62-$E$35)/$D$35)*(H48+H52)*(1+$C48))))+IF($F$62&gt;$F$35,0,IF($F$62&lt;$D$35,0,IF($F$62&gt;$E$35,(($F$35-$F$62)/$D$35)*(I48+I52)*(1+$C48),(($F$62-$D$35)/$D$35)*(I48+I52)*(1+$C48))))+IF($F$62&gt;$E$35,0,IF($F$62&gt;$D$35,(($E$35-$F$62)/$D$35)*(J48+J52)*(1+$C48),(($D$35-$F$62)/$D$35)*(K48+K52)*(1+$C48)+($F$62/$D$35)*(J48+J52)*(1+$C48)))</f>
        <v>0</v>
      </c>
      <c r="L75" s="76">
        <f>IF($F$62&gt;$L$35,0,IF($F$62&lt;$J$35,0,IF($F$62&gt;$K$35,(($L$35-$F$62)/$D$35)*(D48+D52)*(1+$C48),(($F$62-$J$35)/$D$35)*(D48+D52)*(1+$C48))))+IF($F$62&gt;$K$35,0,IF($F$62&lt;$I$35,0,IF($F$62&gt;$J$35,(($K$35-$F$62)/$D$35)*(E48+E52)*(1+$C48),(($F$62-$I$35)/$D$35)*(E48+E52)*(1+$C48))))+IF($F$62&gt;$J$35,0,IF($F$62&lt;$H$35,0,IF($F$62&gt;$I$35,(($J$35-$F$62)/$D$35)*(F48+F52)*(1+$C48),(($F$62-$H$35)/$D$35)*(F48+F52)*(1+$C48))))+IF($F$62&gt;$I$35,0,IF($F$62&lt;$G$35,0,IF($F$62&gt;$H$35,(($I$35-$F$62)/$D$35)*(G48+G52)*(1+$C48),(($F$62-$G$35)/$D$35)*(G48+G52)*(1+$C48))))+IF($F$62&gt;$H$35,0,IF($F$62&lt;$F$35,0,IF($F$62&gt;$G$35,(($H$35-$F$62)/$D$35)*(H48+H52)*(1+$C48),(($F$62-$F$35)/$D$35)*(H48+H52)*(1+$C48))))+IF($F$62&gt;$G$35,0,IF($F$62&lt;$E$35,0,IF($F$62&gt;$F$35,(($G$35-$F$62)/$D$35)*(I48+I52)*(1+$C48),(($F$62-$E$35)/$D$35)*(I48+I52)*(1+$C48))))+IF($F$62&gt;$F$35,0,IF($F$62&lt;$D$35,0,IF($F$62&gt;$E$35,(($F$35-$F$62)/$D$35)*(J48+J52)*(1+$C48),(($F$62-$D$35)/$D$35)*(J48+J52)*(1+$C48))))+IF($F$62&gt;$E$35,0,IF($F$62&gt;$D$35,(($E$35-$F$62)/$D$35)*(K48+K52)*(1+$C48),(($D$35-$F$62)/$D$35)*(L48+L52)*(1+$C48)+($F$62/$D$35)*(K48+K52)*(1+$C48)))</f>
        <v>0</v>
      </c>
      <c r="M75" s="76">
        <f>IF($F$62&gt;$M$35,0,IF($F$62&lt;$K$35,0,IF($F$62&gt;$L$35,(($M$35-$F$62)/$D$35)*(D48+D52)*(1+$C48),(($F$62-$K$35)/$D$35)*(D48+D52)*(1+$C48))))+IF($F$62&gt;$L$35,0,IF($F$62&lt;$J$35,0,IF($F$62&gt;$K$35,(($L$35-$F$62)/$D$35)*(E48+E52)*(1+$C48),(($F$62-$J$35)/$D$35)*(E48+E52)*(1+$C48))))+IF($F$62&gt;$K$35,0,IF($F$62&lt;$I$35,0,IF($F$62&gt;$J$35,(($K$35-$F$62)/$D$35)*(F48+F52)*(1+$C48),(($F$62-$I$35)/$D$35)*(F48+F52)*(1+$C48))))+IF($F$62&gt;$J$35,0,IF($F$62&lt;$H$35,0,IF($F$62&gt;$I$35,(($J$35-$F$62)/$D$35)*(G48+G52)*(1+$C48),(($F$62-$H$35)/$D$35)*(G48+G52)*(1+$C48))))+IF($F$62&gt;$I$35,0,IF($F$62&lt;$G$35,0,IF($F$62&gt;$H$35,(($I$35-$F$62)/$D$35)*(H48+H52)*(1+$C48),(($F$62-$G$35)/$D$35)*(H48+H52)*(1+$C48))))+IF($F$62&gt;$H$35,0,IF($F$62&lt;$F$35,0,IF($F$62&gt;$G$35,(($H$35-$F$62)/$D$35)*(I48+I52)*(1+$C48),(($F$62-$F$35)/$D$35)*(I48+I52)*(1+$C48))))+IF($F$62&gt;$G$35,0,IF($F$62&lt;$E$35,0,IF($F$62&gt;$F$35,(($G$35-$F$62)/$D$35)*(J48+J52)*(1+$C48),(($F$62-$E$35)/$D$35)*(J48+J52)*(1+$C48))))+IF($F$62&gt;$F$35,0,IF($F$62&lt;$D$35,0,IF($F$62&gt;$E$35,(($F$35-$F$62)/$D$35)*(K48+K52)*(1+$C48),(($F$62-$D$35)/$D$35)*(K48+K52)*(1+$C48))))+IF($F$62&gt;$E$35,0,IF($F$62&gt;$D$35,(($E$35-$F$62)/$D$35)*(L48+L52)*(1+$C48),(($D$35-$F$62)/$D$35)*(M48+M52)*(1+$C48)+($F$62/$D$35)*(L48+L52)*(1+$C48)))</f>
        <v>0</v>
      </c>
      <c r="N75" s="76">
        <f>IF($F$62&gt;$N$35,0,IF($F$62&lt;$L$35,0,IF($F$62&gt;$M$35,(($N$35-$F$62)/$D$35)*(D48+D52)*(1+$C48),(($F$62-$L$35)/$D$35)*(D48+D52)*(1+$C48))))+IF($F$62&gt;$M$35,0,IF($F$62&lt;$K$35,0,IF($F$62&gt;$L$35,(($M$35-$F$62)/$D$35)*(E48+E52)*(1+$C48),(($F$62-$K$35)/$D$35)*(E48+E52)*(1+$C48))))+IF($F$62&gt;$L$35,0,IF($F$62&lt;$J$35,0,IF($F$62&gt;$K$35,(($L$35-$F$62)/$D$35)*(F48+F52)*(1+$C48),(($F$62-$J$35)/$D$35)*(F48+F52)*(1+$C48))))+IF($F$62&gt;$K$35,0,IF($F$62&lt;$I$35,0,IF($F$62&gt;$J$35,(($K$35-$F$62)/$D$35)*(G48+G52)*(1+$C48),(($F$62-$I$35)/$D$35)*(G48+G52)*(1+$C48))))+IF($F$62&gt;$J$35,0,IF($F$62&lt;$H$35,0,IF($F$62&gt;$I$35,(($J$35-$F$62)/$D$35)*(H48+H52)*(1+$C48),(($F$62-$H$35)/$D$35)*(H48+H52)*(1+$C48))))+IF($F$62&gt;$I$35,0,IF($F$62&lt;$G$35,0,IF($F$62&gt;$H$35,(($I$35-$F$62)/$D$35)*(I48+I52)*(1+$C48),(($F$62-$G$35)/$D$35)*(I48+I52)*(1+$C48))))+IF($F$62&gt;$H$35,0,IF($F$62&lt;$F$35,0,IF($F$62&gt;$G$35,(($H$35-$F$62)/$D$35)*(J48+J52)*(1+$C48),(($F$62-$F$35)/$D$35)*(J48+J52)*(1+$C48))))+IF($F$62&gt;$G$35,0,IF($F$62&lt;$E$35,0,IF($F$62&gt;$F$35,(($G$35-$F$62)/$D$35)*(K48+K52)*(1+$C48),(($F$62-$E$35)/$D$35)*(K48+K52)*(1+$C48))))+IF($F$62&gt;$F$35,0,IF($F$62&lt;$D$35,0,IF($F$62&gt;$E$35,(($F$35-$F$62)/$D$35)*(L48+L52)*(1+$C48),(($F$62-$D$35)/$D$35)*(L48+L52)*(1+$C48))))+IF($F$62&gt;$E$35,0,IF($F$62&gt;$D$35,(($E$35-$F$62)/$D$35)*(M48+M52)*(1+$C48),(($D$35-$F$62)/$D$35)*(N48+N52)*(1+$C48)+($F$62/$D$35)*(M48+M52)*(1+$C48)))</f>
        <v>0</v>
      </c>
      <c r="O75" s="100">
        <f>IF($F$62&gt;$O$35,0,IF($F$62&lt;$M$35,0,IF($F$62&gt;$N$35,(($O$35-$F$62)/$D$35)*(D48+D52)*(1+$C48),(($F$62-$M$35)/$D$35)*(D48+D52)*(1+$C48))))+IF($F$62&gt;$N$35,0,IF($F$62&lt;$L$35,0,IF($F$62&gt;$M$35,(($N$35-$F$62)/$D$35)*(E48+E52)*(1+$C48),(($F$62-$L$35)/$D$35)*(E48+E52)*(1+$C48))))+IF($F$62&gt;$M$35,0,IF($F$62&lt;$K$35,0,IF($F$62&gt;$L$35,(($M$35-$F$62)/$D$35)*(F48+F52)*(1+$C48),(($F$62-$K$35)/$D$35)*(F48+F52)*(1+$C48))))+IF($F$62&gt;$L$35,0,IF($F$62&lt;$J$35,0,IF($F$62&gt;$K$35,(($L$35-$F$62)/$D$35)*(G48+G52)*(1+$C48),(($F$62-$J$35)/$D$35)*(G48+G52)*(1+$C48))))+IF($F$62&gt;$K$35,0,IF($F$62&lt;$I$35,0,IF($F$62&gt;$J$35,(($K$35-$F$62)/$D$35)*(H48+H52)*(1+$C48),(($F$62-$I$35)/$D$35)*(H48+H52)*(1+$C48))))+IF($F$62&gt;$J$35,0,IF($F$62&lt;$H$35,0,IF($F$62&gt;$I$35,(($J$35-$F$62)/$D$35)*(I48+I52)*(1+$C48),(($F$62-$H$35)/$D$35)*(I48+I52)*(1+$C48))))+IF($F$62&gt;$I$35,0,IF($F$62&lt;$G$35,0,IF($F$62&gt;$H$35,(($I$35-$F$62)/$D$35)*(J48+J52)*(1+$C48),(($F$62-$G$35)/$D$35)*(J48+J52)*(1+$C48))))+IF($F$62&gt;$H$35,0,IF($F$62&lt;$F$35,0,IF($F$62&gt;$G$35,(($H$35-$F$62)/$D$35)*(K48+K52)*(1+$C48),(($F$62-$F$35)/$D$35)*(K48+K52)*(1+$C48))))+IF($F$62&gt;$G$35,0,IF($F$62&lt;$E$35,0,IF($F$62&gt;$F$35,(($G$35-$F$62)/$D$35)*(L48+L52)*(1+$C48),(($F$62-$E$35)/$D$35)*(L48+L52)*(1+$C48))))+IF($F$62&gt;$F$35,0,IF($F$62&lt;$D$35,0,IF($F$62&gt;$E$35,(($F$35-$F$62)/$D$35)*(M48+M52)*(1+$C48),(($F$62-$D$35)/$D$35)*(M48+M52)*(1+$C48))))+IF($F$62&gt;$E$35,0,IF($F$62&gt;$D$35,(($E$35-$F$62)/$D$35)*(N48+N52)*(1+$C48),(($D$35-$F$62)/$D$35)*(O48+O52)*(1+$C48)+($F$62/$D$35)*(N48+N52)*(1+$C48)))</f>
        <v>0</v>
      </c>
      <c r="P75" s="45"/>
      <c r="Q75" s="45"/>
      <c r="R75" s="45"/>
    </row>
    <row r="76" spans="2:18">
      <c r="B76" s="57" t="s">
        <v>76</v>
      </c>
      <c r="C76" s="63"/>
      <c r="D76" s="97">
        <f>SUM(D73:D75)</f>
        <v>0</v>
      </c>
      <c r="E76" s="73">
        <f t="shared" ref="E76:O76" si="13">SUM(E73:E75)</f>
        <v>0</v>
      </c>
      <c r="F76" s="73">
        <f t="shared" si="13"/>
        <v>0</v>
      </c>
      <c r="G76" s="73">
        <f t="shared" si="13"/>
        <v>0</v>
      </c>
      <c r="H76" s="73">
        <f t="shared" si="13"/>
        <v>0</v>
      </c>
      <c r="I76" s="73">
        <f t="shared" si="13"/>
        <v>0</v>
      </c>
      <c r="J76" s="73">
        <f t="shared" si="13"/>
        <v>0</v>
      </c>
      <c r="K76" s="73">
        <f t="shared" si="13"/>
        <v>0</v>
      </c>
      <c r="L76" s="73">
        <f t="shared" si="13"/>
        <v>0</v>
      </c>
      <c r="M76" s="73">
        <f t="shared" si="13"/>
        <v>0</v>
      </c>
      <c r="N76" s="73">
        <f t="shared" si="13"/>
        <v>0</v>
      </c>
      <c r="O76" s="98">
        <f t="shared" si="13"/>
        <v>0</v>
      </c>
      <c r="P76" s="45"/>
      <c r="Q76" s="45"/>
      <c r="R76" s="45"/>
    </row>
    <row r="77" spans="2:18">
      <c r="B77" s="88"/>
      <c r="C77" s="88"/>
      <c r="D77" s="88"/>
      <c r="E77" s="63"/>
      <c r="F77" s="89"/>
      <c r="G77" s="90"/>
      <c r="H77" s="90"/>
      <c r="I77" s="90"/>
      <c r="J77" s="90"/>
      <c r="K77" s="90"/>
      <c r="L77" s="45"/>
      <c r="M77" s="45"/>
      <c r="N77" s="45"/>
      <c r="O77" s="45"/>
      <c r="P77" s="45"/>
      <c r="Q77" s="45"/>
      <c r="R77" s="45"/>
    </row>
    <row r="78" spans="2:18" s="16" customFormat="1">
      <c r="B78" s="7"/>
      <c r="C78" s="7"/>
      <c r="D78" s="7"/>
      <c r="E78" s="8"/>
      <c r="F78" s="9"/>
      <c r="G78" s="10"/>
      <c r="H78" s="10"/>
      <c r="I78" s="10"/>
      <c r="J78" s="10"/>
      <c r="K78" s="10"/>
    </row>
    <row r="79" spans="2:18" s="16" customFormat="1" ht="42" customHeight="1">
      <c r="B79" s="165" t="s">
        <v>107</v>
      </c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</row>
    <row r="80" spans="2:18">
      <c r="B80" s="45"/>
      <c r="C80" s="63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</row>
    <row r="81" spans="2:18" ht="15" customHeight="1">
      <c r="B81" s="45"/>
      <c r="C81" s="92"/>
      <c r="D81" s="72" t="str">
        <f>IF('Dados e Análise'!$D$13="Mensal","Jan "&amp;$D$11,IF('Dados e Análise'!$D$13="Trimestral","1º Trim "&amp;$D$11))</f>
        <v>1º Trim 2013</v>
      </c>
      <c r="E81" s="72" t="str">
        <f>IF('Dados e Análise'!$D$13="Mensal","Fev "&amp;$D$11,IF('Dados e Análise'!$D$13="Trimestral","2º Trim "&amp;$D$11))</f>
        <v>2º Trim 2013</v>
      </c>
      <c r="F81" s="72" t="str">
        <f>IF('Dados e Análise'!$D$13="Mensal","Mar "&amp;$D$11,IF('Dados e Análise'!$D$13="Trimestral","3º Trim "&amp;$D$11))</f>
        <v>3º Trim 2013</v>
      </c>
      <c r="G81" s="72" t="str">
        <f>IF('Dados e Análise'!$D$13="Mensal","Abr "&amp;$D$11,IF('Dados e Análise'!$D$13="Trimestral","4º Trim "&amp;$D$11))</f>
        <v>4º Trim 2013</v>
      </c>
      <c r="H81" s="72" t="str">
        <f>IF('Dados e Análise'!$D$13="Mensal","Mai "&amp;$D$11,IF('Dados e Análise'!$D$13="Trimestral","1º Trim "&amp;$D$11+1))</f>
        <v>1º Trim 2014</v>
      </c>
      <c r="I81" s="72" t="str">
        <f>IF('Dados e Análise'!$D$13="Mensal","Jun "&amp;$D$11,IF('Dados e Análise'!$D$13="Trimestral","2º Trim "&amp;$D$11+1))</f>
        <v>2º Trim 2014</v>
      </c>
      <c r="J81" s="72" t="str">
        <f>IF('Dados e Análise'!$D$13="Mensal","Jul "&amp;$D$11,IF('Dados e Análise'!$D$13="Trimestral","3º Trim "&amp;$D$11+1))</f>
        <v>3º Trim 2014</v>
      </c>
      <c r="K81" s="72" t="str">
        <f>IF('Dados e Análise'!$D$13="Mensal","Ago "&amp;$D$11,IF('Dados e Análise'!$D$13="Trimestral","4º Trim "&amp;$D$11+1))</f>
        <v>4º Trim 2014</v>
      </c>
      <c r="L81" s="72" t="str">
        <f>IF('Dados e Análise'!$D$13="Mensal","Set "&amp;$D$11,IF('Dados e Análise'!$D$13="Trimestral","1º Trim "&amp;$D$11+2))</f>
        <v>1º Trim 2015</v>
      </c>
      <c r="M81" s="72" t="str">
        <f>IF('Dados e Análise'!$D$13="Mensal","Out "&amp;$D$11,IF('Dados e Análise'!$D$13="Trimestral","2º Trim "&amp;$D$11+2))</f>
        <v>2º Trim 2015</v>
      </c>
      <c r="N81" s="72" t="str">
        <f>IF('Dados e Análise'!$D$13="Mensal","Nov "&amp;$D$11,IF('Dados e Análise'!$D$13="Trimestral","3º Trim "&amp;$D$11+1))</f>
        <v>3º Trim 2014</v>
      </c>
      <c r="O81" s="93" t="str">
        <f>IF('Dados e Análise'!$D$13="Mensal","Dez "&amp;$D$11,IF('Dados e Análise'!$D$13="Trimestral","4º Trim "&amp;$D$11+2))</f>
        <v>4º Trim 2015</v>
      </c>
      <c r="P81" s="93" t="str">
        <f>IF('Dados e Análise'!$D$13="Mensal","Jan "&amp;$D$11+1,IF('Dados e Análise'!$D$13="Trimestral","1º Trim "&amp;$D$11+3))</f>
        <v>1º Trim 2016</v>
      </c>
      <c r="Q81" s="93" t="str">
        <f>IF('Dados e Análise'!$D$13="Mensal","Fev "&amp;$D$11+1,IF('Dados e Análise'!$D$13="Trimestral","2º Trim "&amp;$D$11+3))</f>
        <v>2º Trim 2016</v>
      </c>
      <c r="R81" s="92"/>
    </row>
    <row r="82" spans="2:18">
      <c r="B82" s="45"/>
      <c r="C82" s="45"/>
      <c r="D82" s="63"/>
      <c r="E82" s="63"/>
      <c r="F82" s="89"/>
      <c r="G82" s="63"/>
      <c r="H82" s="63"/>
      <c r="I82" s="63"/>
      <c r="J82" s="63"/>
      <c r="K82" s="63"/>
      <c r="L82" s="45"/>
      <c r="M82" s="45"/>
      <c r="N82" s="45"/>
      <c r="O82" s="45"/>
      <c r="P82" s="45"/>
      <c r="Q82" s="45"/>
      <c r="R82" s="45"/>
    </row>
    <row r="83" spans="2:18" ht="21" customHeight="1">
      <c r="B83" s="45"/>
      <c r="C83" s="92"/>
      <c r="D83" s="178" t="s">
        <v>95</v>
      </c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45"/>
    </row>
    <row r="84" spans="2:18">
      <c r="B84" s="167" t="s">
        <v>3</v>
      </c>
      <c r="C84" s="167"/>
      <c r="D84" s="143">
        <f t="shared" ref="D84:Q84" si="14">D40*$C$40+D41*$C$41+D42*$C$42</f>
        <v>0</v>
      </c>
      <c r="E84" s="143">
        <f t="shared" si="14"/>
        <v>0</v>
      </c>
      <c r="F84" s="143">
        <f t="shared" si="14"/>
        <v>0</v>
      </c>
      <c r="G84" s="143">
        <f t="shared" si="14"/>
        <v>0</v>
      </c>
      <c r="H84" s="143">
        <f t="shared" si="14"/>
        <v>0</v>
      </c>
      <c r="I84" s="143">
        <f t="shared" si="14"/>
        <v>0</v>
      </c>
      <c r="J84" s="143">
        <f t="shared" si="14"/>
        <v>0</v>
      </c>
      <c r="K84" s="143">
        <f t="shared" si="14"/>
        <v>0</v>
      </c>
      <c r="L84" s="143">
        <f t="shared" si="14"/>
        <v>0</v>
      </c>
      <c r="M84" s="143">
        <f t="shared" si="14"/>
        <v>0</v>
      </c>
      <c r="N84" s="143">
        <f t="shared" si="14"/>
        <v>0</v>
      </c>
      <c r="O84" s="143">
        <f t="shared" si="14"/>
        <v>0</v>
      </c>
      <c r="P84" s="143">
        <f t="shared" si="14"/>
        <v>0</v>
      </c>
      <c r="Q84" s="143">
        <f t="shared" si="14"/>
        <v>0</v>
      </c>
      <c r="R84" s="45"/>
    </row>
    <row r="85" spans="2:18">
      <c r="B85" s="162" t="s">
        <v>21</v>
      </c>
      <c r="C85" s="162"/>
      <c r="D85" s="144">
        <f t="shared" ref="D85:Q85" si="15">D46*$C$46+D47*$C$47+D48*$C$48+D50*$C$50+D51*$C$51+D52*$C$52</f>
        <v>0</v>
      </c>
      <c r="E85" s="144">
        <f t="shared" si="15"/>
        <v>0</v>
      </c>
      <c r="F85" s="144">
        <f t="shared" si="15"/>
        <v>0</v>
      </c>
      <c r="G85" s="144">
        <f t="shared" si="15"/>
        <v>0</v>
      </c>
      <c r="H85" s="144">
        <f t="shared" si="15"/>
        <v>0</v>
      </c>
      <c r="I85" s="144">
        <f t="shared" si="15"/>
        <v>0</v>
      </c>
      <c r="J85" s="144">
        <f t="shared" si="15"/>
        <v>0</v>
      </c>
      <c r="K85" s="144">
        <f t="shared" si="15"/>
        <v>0</v>
      </c>
      <c r="L85" s="144">
        <f t="shared" si="15"/>
        <v>0</v>
      </c>
      <c r="M85" s="144">
        <f t="shared" si="15"/>
        <v>0</v>
      </c>
      <c r="N85" s="144">
        <f t="shared" si="15"/>
        <v>0</v>
      </c>
      <c r="O85" s="144">
        <f t="shared" si="15"/>
        <v>0</v>
      </c>
      <c r="P85" s="144">
        <f t="shared" si="15"/>
        <v>0</v>
      </c>
      <c r="Q85" s="144">
        <f t="shared" si="15"/>
        <v>0</v>
      </c>
      <c r="R85" s="45"/>
    </row>
    <row r="86" spans="2:18">
      <c r="B86" s="166" t="s">
        <v>0</v>
      </c>
      <c r="C86" s="166"/>
      <c r="D86" s="145"/>
      <c r="E86" s="145">
        <f>IF($D$13="Mensal",0,IF(D84-D85&gt;0,D84-D85,0))</f>
        <v>0</v>
      </c>
      <c r="F86" s="145">
        <f>IF($D$13="Mensal",IF(D84-D85&gt;0,D84-D85,0),IF(E84-E85&gt;0,E84-E85,0))</f>
        <v>0</v>
      </c>
      <c r="G86" s="145">
        <f t="shared" ref="G86:J86" si="16">IF($D$13="Mensal",IF(E84-E85&gt;0,E84-E85,0),IF(F84-F85&gt;0,F84-F85,0))</f>
        <v>0</v>
      </c>
      <c r="H86" s="145">
        <f t="shared" si="16"/>
        <v>0</v>
      </c>
      <c r="I86" s="145">
        <f t="shared" si="16"/>
        <v>0</v>
      </c>
      <c r="J86" s="145">
        <f t="shared" si="16"/>
        <v>0</v>
      </c>
      <c r="K86" s="145">
        <f>IF($D$13="Mensal",IF(I84-I85&gt;0,I84-I85,0),IF(J84-J85&gt;0,J84-J85,0))</f>
        <v>0</v>
      </c>
      <c r="L86" s="145">
        <f t="shared" ref="L86:N86" si="17">IF($D$13="Mensal",IF(J84-J85&gt;0,J84-J85,0),IF(K84-K85&gt;0,K84-K85,0))</f>
        <v>0</v>
      </c>
      <c r="M86" s="145">
        <f t="shared" si="17"/>
        <v>0</v>
      </c>
      <c r="N86" s="145">
        <f t="shared" si="17"/>
        <v>0</v>
      </c>
      <c r="O86" s="145">
        <f>IF($D$13="Mensal",IF(M84-M85&gt;0,M84-M85,0),IF(N84-N85&gt;0,N84-N85,0))</f>
        <v>0</v>
      </c>
      <c r="P86" s="145">
        <f>IF($D$13="Mensal",IF(N84-N85&gt;0,N84-N85,0),IF(O84-O85&gt;0,O84-O85,0))</f>
        <v>0</v>
      </c>
      <c r="Q86" s="145">
        <f>IF($D$13="Mensal",IF(O84-O85&gt;0,O84-O85,0),IF(P84-P85&gt;0,P84-P85,0))</f>
        <v>0</v>
      </c>
      <c r="R86" s="45"/>
    </row>
    <row r="87" spans="2:18">
      <c r="B87" s="162" t="s">
        <v>98</v>
      </c>
      <c r="C87" s="162"/>
      <c r="D87" s="146"/>
      <c r="E87" s="146">
        <f>IF($D$13="Mensal",0,IF(D84-D84&gt;0,D84-D85,0))</f>
        <v>0</v>
      </c>
      <c r="F87" s="146">
        <f t="shared" ref="F87:Q87" si="18">IF($D$13="Mensal",IF(D84-D85&gt;0,0,D85-D84),IF(E84-E85&gt;0,0,E85-E84))</f>
        <v>0</v>
      </c>
      <c r="G87" s="146">
        <f t="shared" si="18"/>
        <v>0</v>
      </c>
      <c r="H87" s="146">
        <f t="shared" si="18"/>
        <v>0</v>
      </c>
      <c r="I87" s="146">
        <f t="shared" si="18"/>
        <v>0</v>
      </c>
      <c r="J87" s="146">
        <f t="shared" si="18"/>
        <v>0</v>
      </c>
      <c r="K87" s="146">
        <f t="shared" si="18"/>
        <v>0</v>
      </c>
      <c r="L87" s="146">
        <f t="shared" si="18"/>
        <v>0</v>
      </c>
      <c r="M87" s="146">
        <f t="shared" si="18"/>
        <v>0</v>
      </c>
      <c r="N87" s="146">
        <f t="shared" si="18"/>
        <v>0</v>
      </c>
      <c r="O87" s="146">
        <f t="shared" si="18"/>
        <v>0</v>
      </c>
      <c r="P87" s="146">
        <f t="shared" si="18"/>
        <v>0</v>
      </c>
      <c r="Q87" s="146">
        <f t="shared" si="18"/>
        <v>0</v>
      </c>
      <c r="R87" s="45"/>
    </row>
    <row r="88" spans="2:18">
      <c r="B88" s="175" t="s">
        <v>6</v>
      </c>
      <c r="C88" s="175"/>
      <c r="D88" s="147">
        <v>0</v>
      </c>
      <c r="E88" s="147">
        <f t="shared" ref="E88:N88" si="19">D88-E86+E87</f>
        <v>0</v>
      </c>
      <c r="F88" s="147">
        <f>E88-F86+F87</f>
        <v>0</v>
      </c>
      <c r="G88" s="147">
        <f t="shared" si="19"/>
        <v>0</v>
      </c>
      <c r="H88" s="147">
        <f t="shared" si="19"/>
        <v>0</v>
      </c>
      <c r="I88" s="147">
        <f t="shared" si="19"/>
        <v>0</v>
      </c>
      <c r="J88" s="147">
        <f t="shared" si="19"/>
        <v>0</v>
      </c>
      <c r="K88" s="147">
        <f t="shared" si="19"/>
        <v>0</v>
      </c>
      <c r="L88" s="147">
        <f t="shared" si="19"/>
        <v>0</v>
      </c>
      <c r="M88" s="147">
        <f t="shared" si="19"/>
        <v>0</v>
      </c>
      <c r="N88" s="147">
        <f t="shared" si="19"/>
        <v>0</v>
      </c>
      <c r="O88" s="147">
        <f>N88-O86+O87</f>
        <v>0</v>
      </c>
      <c r="P88" s="147">
        <f t="shared" ref="P88" si="20">O88-P86+P87</f>
        <v>0</v>
      </c>
      <c r="Q88" s="147">
        <f>P88-Q86+Q87</f>
        <v>0</v>
      </c>
      <c r="R88" s="45"/>
    </row>
    <row r="89" spans="2:18" s="21" customFormat="1">
      <c r="B89" s="103"/>
      <c r="C89" s="104"/>
      <c r="D89" s="106"/>
      <c r="E89" s="113">
        <f t="shared" ref="E89:Q89" si="21">E86-E87</f>
        <v>0</v>
      </c>
      <c r="F89" s="113">
        <f t="shared" si="21"/>
        <v>0</v>
      </c>
      <c r="G89" s="113">
        <f t="shared" si="21"/>
        <v>0</v>
      </c>
      <c r="H89" s="113">
        <f t="shared" si="21"/>
        <v>0</v>
      </c>
      <c r="I89" s="113">
        <f t="shared" si="21"/>
        <v>0</v>
      </c>
      <c r="J89" s="113">
        <f t="shared" si="21"/>
        <v>0</v>
      </c>
      <c r="K89" s="113">
        <f t="shared" si="21"/>
        <v>0</v>
      </c>
      <c r="L89" s="113">
        <f t="shared" si="21"/>
        <v>0</v>
      </c>
      <c r="M89" s="113">
        <f t="shared" si="21"/>
        <v>0</v>
      </c>
      <c r="N89" s="113">
        <f t="shared" si="21"/>
        <v>0</v>
      </c>
      <c r="O89" s="113">
        <f t="shared" si="21"/>
        <v>0</v>
      </c>
      <c r="P89" s="113">
        <f t="shared" si="21"/>
        <v>0</v>
      </c>
      <c r="Q89" s="113">
        <f t="shared" si="21"/>
        <v>0</v>
      </c>
      <c r="R89" s="108"/>
    </row>
    <row r="90" spans="2:18" s="21" customFormat="1">
      <c r="B90" s="103"/>
      <c r="C90" s="104"/>
      <c r="D90" s="106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8"/>
    </row>
    <row r="91" spans="2:18" s="22" customFormat="1" ht="21" customHeight="1">
      <c r="B91" s="109"/>
      <c r="C91" s="92"/>
      <c r="D91" s="177" t="s">
        <v>27</v>
      </c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92"/>
    </row>
    <row r="92" spans="2:18">
      <c r="B92" s="167" t="s">
        <v>2</v>
      </c>
      <c r="C92" s="167"/>
      <c r="D92" s="124">
        <f t="shared" ref="D92:Q92" si="22">+D69/(1+$C40)*$C40+D70/(1+$C41)*$C41+D71/(1+$C42)*$C42</f>
        <v>0</v>
      </c>
      <c r="E92" s="124">
        <f t="shared" si="22"/>
        <v>0</v>
      </c>
      <c r="F92" s="124">
        <f t="shared" si="22"/>
        <v>0</v>
      </c>
      <c r="G92" s="124">
        <f t="shared" si="22"/>
        <v>0</v>
      </c>
      <c r="H92" s="124">
        <f t="shared" si="22"/>
        <v>0</v>
      </c>
      <c r="I92" s="124">
        <f t="shared" si="22"/>
        <v>0</v>
      </c>
      <c r="J92" s="124">
        <f t="shared" si="22"/>
        <v>0</v>
      </c>
      <c r="K92" s="124">
        <f t="shared" si="22"/>
        <v>0</v>
      </c>
      <c r="L92" s="124">
        <f t="shared" si="22"/>
        <v>0</v>
      </c>
      <c r="M92" s="124">
        <f t="shared" si="22"/>
        <v>0</v>
      </c>
      <c r="N92" s="124">
        <f t="shared" si="22"/>
        <v>0</v>
      </c>
      <c r="O92" s="125">
        <f t="shared" si="22"/>
        <v>0</v>
      </c>
      <c r="P92" s="125">
        <f t="shared" si="22"/>
        <v>0</v>
      </c>
      <c r="Q92" s="125">
        <f t="shared" si="22"/>
        <v>0</v>
      </c>
      <c r="R92" s="45"/>
    </row>
    <row r="93" spans="2:18">
      <c r="B93" s="162" t="s">
        <v>21</v>
      </c>
      <c r="C93" s="162"/>
      <c r="D93" s="126">
        <f t="shared" ref="D93:Q93" si="23">+D73/(1+$C46)*$C46+D74/(1+$C47)*$C47+D75/(1+$C48)*$C48</f>
        <v>0</v>
      </c>
      <c r="E93" s="126">
        <f t="shared" si="23"/>
        <v>0</v>
      </c>
      <c r="F93" s="126">
        <f t="shared" si="23"/>
        <v>0</v>
      </c>
      <c r="G93" s="126">
        <f t="shared" si="23"/>
        <v>0</v>
      </c>
      <c r="H93" s="126">
        <f t="shared" si="23"/>
        <v>0</v>
      </c>
      <c r="I93" s="126">
        <f t="shared" si="23"/>
        <v>0</v>
      </c>
      <c r="J93" s="126">
        <f t="shared" si="23"/>
        <v>0</v>
      </c>
      <c r="K93" s="126">
        <f t="shared" si="23"/>
        <v>0</v>
      </c>
      <c r="L93" s="126">
        <f t="shared" si="23"/>
        <v>0</v>
      </c>
      <c r="M93" s="126">
        <f t="shared" si="23"/>
        <v>0</v>
      </c>
      <c r="N93" s="126">
        <f t="shared" si="23"/>
        <v>0</v>
      </c>
      <c r="O93" s="127">
        <f t="shared" si="23"/>
        <v>0</v>
      </c>
      <c r="P93" s="127">
        <f t="shared" si="23"/>
        <v>0</v>
      </c>
      <c r="Q93" s="127">
        <f t="shared" si="23"/>
        <v>0</v>
      </c>
      <c r="R93" s="45"/>
    </row>
    <row r="94" spans="2:18">
      <c r="B94" s="166" t="s">
        <v>0</v>
      </c>
      <c r="C94" s="166"/>
      <c r="D94" s="128"/>
      <c r="E94" s="128">
        <f>IF($D$13="Mensal",0,IF(D92-D93&gt;0,D92-D93,0))</f>
        <v>0</v>
      </c>
      <c r="F94" s="128">
        <f t="shared" ref="F94:O94" si="24">IF($D$13="Mensal",IF(D92-D93&gt;0,D92-D93,0),IF(E92-E93&gt;0,E92-E93,0))</f>
        <v>0</v>
      </c>
      <c r="G94" s="128">
        <f t="shared" si="24"/>
        <v>0</v>
      </c>
      <c r="H94" s="128">
        <f>IF($D$13="Mensal",IF(F92-F93&gt;0,F92-F93,0),IF(G92-G93&gt;0,G92-G93,0))</f>
        <v>0</v>
      </c>
      <c r="I94" s="128">
        <f t="shared" si="24"/>
        <v>0</v>
      </c>
      <c r="J94" s="128">
        <f t="shared" si="24"/>
        <v>0</v>
      </c>
      <c r="K94" s="128">
        <f t="shared" si="24"/>
        <v>0</v>
      </c>
      <c r="L94" s="128">
        <f t="shared" si="24"/>
        <v>0</v>
      </c>
      <c r="M94" s="128">
        <f t="shared" si="24"/>
        <v>0</v>
      </c>
      <c r="N94" s="128">
        <f t="shared" si="24"/>
        <v>0</v>
      </c>
      <c r="O94" s="128">
        <f t="shared" si="24"/>
        <v>0</v>
      </c>
      <c r="P94" s="128">
        <f>IF($D$13="Mensal",IF(N92-N93&gt;0,N92-N93,0),IF(O92-O93&gt;0,O92-O93,0))</f>
        <v>0</v>
      </c>
      <c r="Q94" s="128">
        <f>IF($D$13="Mensal",IF(O92-O93&gt;0,O92-O93,0),IF(P92-P93&gt;0,P92-P93,0))</f>
        <v>0</v>
      </c>
      <c r="R94" s="45"/>
    </row>
    <row r="95" spans="2:18">
      <c r="B95" s="162" t="s">
        <v>98</v>
      </c>
      <c r="C95" s="162"/>
      <c r="D95" s="129"/>
      <c r="E95" s="129">
        <f>IF($D$13="Mensal",0,IF(D92-D92&gt;0,D92-D93,0))</f>
        <v>0</v>
      </c>
      <c r="F95" s="129">
        <f>IF($D$13="Mensal",IF(D92-D93&gt;0,0,D93-D92),IF(E92-E93&gt;0,0,E93-E92))</f>
        <v>0</v>
      </c>
      <c r="G95" s="129">
        <f>IF($D$13="Mensal",IF(E92-E93&gt;0,0,E93-E92),IF(F92-F93&gt;0,0,F93-F92))</f>
        <v>0</v>
      </c>
      <c r="H95" s="129">
        <f>IF($D$13="Mensal",IF(F92-F93&gt;0,0,F93-F92),IF(G92-G93&gt;0,0,G93-G92))</f>
        <v>0</v>
      </c>
      <c r="I95" s="129">
        <f t="shared" ref="I95:Q95" si="25">IF($D$13="Mensal",IF(G92-G93&gt;0,0,G93-G92),IF(H92-H93&gt;0,0,H93-H92))</f>
        <v>0</v>
      </c>
      <c r="J95" s="129">
        <f t="shared" si="25"/>
        <v>0</v>
      </c>
      <c r="K95" s="129">
        <f t="shared" si="25"/>
        <v>0</v>
      </c>
      <c r="L95" s="129">
        <f t="shared" si="25"/>
        <v>0</v>
      </c>
      <c r="M95" s="129">
        <f t="shared" si="25"/>
        <v>0</v>
      </c>
      <c r="N95" s="129">
        <f t="shared" si="25"/>
        <v>0</v>
      </c>
      <c r="O95" s="129">
        <f t="shared" si="25"/>
        <v>0</v>
      </c>
      <c r="P95" s="129">
        <f t="shared" si="25"/>
        <v>0</v>
      </c>
      <c r="Q95" s="129">
        <f t="shared" si="25"/>
        <v>0</v>
      </c>
      <c r="R95" s="45"/>
    </row>
    <row r="96" spans="2:18">
      <c r="B96" s="175" t="s">
        <v>6</v>
      </c>
      <c r="C96" s="175"/>
      <c r="D96" s="130">
        <v>0</v>
      </c>
      <c r="E96" s="130">
        <f t="shared" ref="E96:P96" si="26">D96-E94+E95</f>
        <v>0</v>
      </c>
      <c r="F96" s="130">
        <f t="shared" si="26"/>
        <v>0</v>
      </c>
      <c r="G96" s="130">
        <f t="shared" si="26"/>
        <v>0</v>
      </c>
      <c r="H96" s="130">
        <f t="shared" si="26"/>
        <v>0</v>
      </c>
      <c r="I96" s="130">
        <f t="shared" si="26"/>
        <v>0</v>
      </c>
      <c r="J96" s="130">
        <f t="shared" si="26"/>
        <v>0</v>
      </c>
      <c r="K96" s="130">
        <f t="shared" si="26"/>
        <v>0</v>
      </c>
      <c r="L96" s="130">
        <f t="shared" si="26"/>
        <v>0</v>
      </c>
      <c r="M96" s="130">
        <f t="shared" si="26"/>
        <v>0</v>
      </c>
      <c r="N96" s="130">
        <f t="shared" si="26"/>
        <v>0</v>
      </c>
      <c r="O96" s="130">
        <f t="shared" si="26"/>
        <v>0</v>
      </c>
      <c r="P96" s="130">
        <f t="shared" si="26"/>
        <v>0</v>
      </c>
      <c r="Q96" s="130">
        <f>P96-Q94+Q95</f>
        <v>0</v>
      </c>
      <c r="R96" s="45"/>
    </row>
    <row r="97" spans="2:18" s="21" customFormat="1">
      <c r="B97" s="105"/>
      <c r="C97" s="105"/>
      <c r="D97" s="110"/>
      <c r="E97" s="111">
        <f>E94-E95</f>
        <v>0</v>
      </c>
      <c r="F97" s="111">
        <f>F94-F95</f>
        <v>0</v>
      </c>
      <c r="G97" s="111">
        <f t="shared" ref="G97:Q97" si="27">G94-G95</f>
        <v>0</v>
      </c>
      <c r="H97" s="111">
        <f t="shared" si="27"/>
        <v>0</v>
      </c>
      <c r="I97" s="111">
        <f t="shared" si="27"/>
        <v>0</v>
      </c>
      <c r="J97" s="111">
        <f t="shared" si="27"/>
        <v>0</v>
      </c>
      <c r="K97" s="111">
        <f t="shared" si="27"/>
        <v>0</v>
      </c>
      <c r="L97" s="111">
        <f t="shared" si="27"/>
        <v>0</v>
      </c>
      <c r="M97" s="111">
        <f t="shared" si="27"/>
        <v>0</v>
      </c>
      <c r="N97" s="111">
        <f t="shared" si="27"/>
        <v>0</v>
      </c>
      <c r="O97" s="111">
        <f t="shared" si="27"/>
        <v>0</v>
      </c>
      <c r="P97" s="111">
        <f t="shared" si="27"/>
        <v>0</v>
      </c>
      <c r="Q97" s="111">
        <f t="shared" si="27"/>
        <v>0</v>
      </c>
      <c r="R97" s="112"/>
    </row>
    <row r="98" spans="2:18" s="21" customFormat="1">
      <c r="B98" s="13"/>
      <c r="C98" s="13"/>
      <c r="D98" s="28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30"/>
    </row>
    <row r="99" spans="2:18" s="21" customFormat="1"/>
    <row r="100" spans="2:18" s="21" customFormat="1" ht="42" customHeight="1">
      <c r="B100" s="165" t="s">
        <v>108</v>
      </c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</row>
    <row r="101" spans="2:18" s="21" customFormat="1">
      <c r="B101" s="105"/>
      <c r="C101" s="105"/>
      <c r="D101" s="105"/>
      <c r="E101" s="116">
        <f t="shared" ref="E101:Q101" si="28">E89-E97+D101</f>
        <v>0</v>
      </c>
      <c r="F101" s="116">
        <f t="shared" si="28"/>
        <v>0</v>
      </c>
      <c r="G101" s="116">
        <f t="shared" si="28"/>
        <v>0</v>
      </c>
      <c r="H101" s="116">
        <f t="shared" si="28"/>
        <v>0</v>
      </c>
      <c r="I101" s="116">
        <f t="shared" si="28"/>
        <v>0</v>
      </c>
      <c r="J101" s="116">
        <f t="shared" si="28"/>
        <v>0</v>
      </c>
      <c r="K101" s="116">
        <f t="shared" si="28"/>
        <v>0</v>
      </c>
      <c r="L101" s="116">
        <f t="shared" si="28"/>
        <v>0</v>
      </c>
      <c r="M101" s="116">
        <f t="shared" si="28"/>
        <v>0</v>
      </c>
      <c r="N101" s="116">
        <f t="shared" si="28"/>
        <v>0</v>
      </c>
      <c r="O101" s="116">
        <f t="shared" si="28"/>
        <v>0</v>
      </c>
      <c r="P101" s="116">
        <f t="shared" si="28"/>
        <v>0</v>
      </c>
      <c r="Q101" s="116">
        <f t="shared" si="28"/>
        <v>0</v>
      </c>
      <c r="R101" s="115"/>
    </row>
    <row r="102" spans="2:18" ht="36.75" customHeight="1">
      <c r="B102" s="45"/>
      <c r="C102" s="132"/>
      <c r="D102" s="132"/>
      <c r="E102" s="45"/>
      <c r="F102" s="45"/>
      <c r="G102" s="179" t="s">
        <v>109</v>
      </c>
      <c r="H102" s="179"/>
      <c r="I102" s="179"/>
      <c r="J102" s="179"/>
      <c r="K102" s="179"/>
      <c r="L102" s="114"/>
      <c r="M102" s="45"/>
      <c r="N102" s="45"/>
      <c r="O102" s="45"/>
      <c r="P102" s="45"/>
      <c r="Q102" s="45"/>
      <c r="R102" s="45"/>
    </row>
    <row r="103" spans="2:18" ht="36.75" customHeight="1">
      <c r="B103" s="45"/>
      <c r="C103" s="132"/>
      <c r="D103" s="132"/>
      <c r="E103" s="45"/>
      <c r="F103" s="45"/>
      <c r="G103" s="114"/>
      <c r="H103" s="114"/>
      <c r="I103" s="114"/>
      <c r="J103" s="114"/>
      <c r="K103" s="114"/>
      <c r="L103" s="114"/>
      <c r="M103" s="45"/>
      <c r="N103" s="45"/>
      <c r="O103" s="45"/>
      <c r="P103" s="45"/>
      <c r="Q103" s="45"/>
      <c r="R103" s="45"/>
    </row>
    <row r="104" spans="2:18" ht="40" customHeight="1">
      <c r="B104" s="58"/>
      <c r="C104" s="58"/>
      <c r="D104" s="58"/>
      <c r="E104" s="58"/>
      <c r="F104" s="180" t="str">
        <f>IF($D$13="Mensal",IF(Q96&gt;Q88,"Regime de IVA de Caixa","Regime Geral de IVA"),IF(H96&gt;H88,"Regime de IVA de Caixa","Regime Geral de IVA"))</f>
        <v>Regime Geral de IVA</v>
      </c>
      <c r="G104" s="180"/>
      <c r="H104" s="180"/>
      <c r="I104" s="180"/>
      <c r="J104" s="180"/>
      <c r="K104" s="180"/>
      <c r="L104" s="180"/>
      <c r="M104" s="45"/>
      <c r="N104" s="45"/>
      <c r="O104" s="45"/>
      <c r="P104" s="45"/>
      <c r="Q104" s="45"/>
      <c r="R104" s="45"/>
    </row>
    <row r="105" spans="2:18">
      <c r="B105" s="45"/>
      <c r="C105" s="58"/>
      <c r="D105" s="58"/>
      <c r="E105" s="58"/>
      <c r="F105" s="58"/>
      <c r="G105" s="59"/>
      <c r="H105" s="58"/>
      <c r="I105" s="58"/>
      <c r="J105" s="58"/>
      <c r="K105" s="58"/>
      <c r="L105" s="58"/>
      <c r="M105" s="45"/>
      <c r="N105" s="45"/>
      <c r="O105" s="45"/>
      <c r="P105" s="45"/>
      <c r="Q105" s="45"/>
      <c r="R105" s="45"/>
    </row>
    <row r="106" spans="2:18">
      <c r="B106" s="45"/>
      <c r="C106" s="58"/>
      <c r="D106" s="58"/>
      <c r="E106" s="58"/>
      <c r="F106" s="58"/>
      <c r="G106" s="59"/>
      <c r="H106" s="58"/>
      <c r="I106" s="58"/>
      <c r="J106" s="58"/>
      <c r="K106" s="58"/>
      <c r="L106" s="58"/>
      <c r="M106" s="45"/>
      <c r="N106" s="45"/>
      <c r="O106" s="45"/>
      <c r="P106" s="45"/>
      <c r="Q106" s="45"/>
      <c r="R106" s="45"/>
    </row>
    <row r="107" spans="2:18">
      <c r="B107" s="45"/>
      <c r="C107" s="58"/>
      <c r="D107" s="58"/>
      <c r="E107" s="58"/>
      <c r="F107" s="58"/>
      <c r="G107" s="59"/>
      <c r="H107" s="58"/>
      <c r="I107" s="58"/>
      <c r="J107" s="58"/>
      <c r="K107" s="58"/>
      <c r="L107" s="58"/>
      <c r="M107" s="45"/>
      <c r="N107" s="45"/>
      <c r="O107" s="45"/>
      <c r="P107" s="45"/>
      <c r="Q107" s="45"/>
      <c r="R107" s="45"/>
    </row>
    <row r="108" spans="2:18">
      <c r="B108" s="45"/>
      <c r="C108" s="58"/>
      <c r="D108" s="58"/>
      <c r="E108" s="58"/>
      <c r="F108" s="58"/>
      <c r="G108" s="59"/>
      <c r="H108" s="58"/>
      <c r="I108" s="58"/>
      <c r="J108" s="58"/>
      <c r="K108" s="58"/>
      <c r="L108" s="58"/>
      <c r="M108" s="45"/>
      <c r="N108" s="45"/>
      <c r="O108" s="45"/>
      <c r="P108" s="45"/>
      <c r="Q108" s="45"/>
      <c r="R108" s="45"/>
    </row>
    <row r="109" spans="2:18" s="23" customFormat="1" ht="16.5" customHeight="1"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</row>
    <row r="110" spans="2:18" s="23" customFormat="1" ht="16.5" customHeight="1"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</row>
    <row r="111" spans="2:18">
      <c r="B111" s="58"/>
      <c r="C111" s="58"/>
      <c r="D111" s="58"/>
      <c r="E111" s="58"/>
      <c r="F111" s="58"/>
      <c r="G111" s="59"/>
      <c r="H111" s="58"/>
      <c r="I111" s="58"/>
      <c r="J111" s="58"/>
      <c r="K111" s="58"/>
      <c r="L111" s="58"/>
      <c r="M111" s="45"/>
      <c r="N111" s="45"/>
      <c r="O111" s="45"/>
      <c r="P111" s="45"/>
      <c r="Q111" s="45"/>
      <c r="R111" s="45"/>
    </row>
    <row r="112" spans="2:18">
      <c r="B112" s="58"/>
      <c r="C112" s="58"/>
      <c r="D112" s="58"/>
      <c r="E112" s="58"/>
      <c r="F112" s="58"/>
      <c r="G112" s="59"/>
      <c r="H112" s="58"/>
      <c r="I112" s="58"/>
      <c r="J112" s="58"/>
      <c r="K112" s="58"/>
      <c r="L112" s="58"/>
      <c r="M112" s="45"/>
      <c r="N112" s="45"/>
      <c r="O112" s="45"/>
      <c r="P112" s="45"/>
      <c r="Q112" s="45"/>
      <c r="R112" s="45"/>
    </row>
    <row r="113" spans="2:18">
      <c r="B113" s="58"/>
      <c r="C113" s="58"/>
      <c r="D113" s="58"/>
      <c r="E113" s="58"/>
      <c r="F113" s="58"/>
      <c r="G113" s="59"/>
      <c r="H113" s="58"/>
      <c r="I113" s="58"/>
      <c r="J113" s="58"/>
      <c r="K113" s="58"/>
      <c r="L113" s="58"/>
      <c r="M113" s="45"/>
      <c r="N113" s="45"/>
      <c r="O113" s="45"/>
      <c r="P113" s="45"/>
      <c r="Q113" s="45"/>
      <c r="R113" s="45"/>
    </row>
    <row r="114" spans="2:18">
      <c r="B114" s="58"/>
      <c r="C114" s="58"/>
      <c r="D114" s="58"/>
      <c r="E114" s="58"/>
      <c r="F114" s="58"/>
      <c r="G114" s="59"/>
      <c r="H114" s="58"/>
      <c r="I114" s="58"/>
      <c r="J114" s="58"/>
      <c r="K114" s="58"/>
      <c r="L114" s="58"/>
      <c r="M114" s="45"/>
      <c r="N114" s="45"/>
      <c r="O114" s="45"/>
      <c r="P114" s="45"/>
      <c r="Q114" s="45"/>
      <c r="R114" s="45"/>
    </row>
    <row r="115" spans="2:18">
      <c r="B115" s="58"/>
      <c r="C115" s="58"/>
      <c r="D115" s="58"/>
      <c r="E115" s="58"/>
      <c r="F115" s="58"/>
      <c r="G115" s="59"/>
      <c r="H115" s="58"/>
      <c r="I115" s="58"/>
      <c r="J115" s="58"/>
      <c r="K115" s="58"/>
      <c r="L115" s="58"/>
      <c r="M115" s="45"/>
      <c r="N115" s="45"/>
      <c r="O115" s="45"/>
      <c r="P115" s="45"/>
      <c r="Q115" s="45"/>
      <c r="R115" s="45"/>
    </row>
    <row r="116" spans="2:18">
      <c r="B116" s="58"/>
      <c r="C116" s="58"/>
      <c r="D116" s="58"/>
      <c r="E116" s="58"/>
      <c r="F116" s="58"/>
      <c r="G116" s="59"/>
      <c r="H116" s="58"/>
      <c r="I116" s="58"/>
      <c r="J116" s="58"/>
      <c r="K116" s="58"/>
      <c r="L116" s="58"/>
      <c r="M116" s="45"/>
      <c r="N116" s="45"/>
      <c r="O116" s="45"/>
      <c r="P116" s="45"/>
      <c r="Q116" s="45"/>
      <c r="R116" s="45"/>
    </row>
    <row r="117" spans="2:18">
      <c r="B117" s="58"/>
      <c r="C117" s="58"/>
      <c r="D117" s="58"/>
      <c r="E117" s="58"/>
      <c r="F117" s="58"/>
      <c r="G117" s="59"/>
      <c r="H117" s="58"/>
      <c r="I117" s="58"/>
      <c r="J117" s="58"/>
      <c r="K117" s="58"/>
      <c r="L117" s="58"/>
      <c r="M117" s="45"/>
      <c r="N117" s="45"/>
      <c r="O117" s="45"/>
      <c r="P117" s="45"/>
      <c r="Q117" s="45"/>
      <c r="R117" s="45"/>
    </row>
    <row r="118" spans="2:18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</row>
    <row r="119" spans="2:18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</row>
    <row r="120" spans="2:18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</row>
    <row r="121" spans="2:18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</row>
    <row r="122" spans="2:18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</row>
    <row r="123" spans="2:18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</row>
    <row r="124" spans="2:18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</row>
    <row r="125" spans="2:18"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</row>
    <row r="126" spans="2:18"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</row>
    <row r="127" spans="2:18"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</row>
    <row r="128" spans="2:18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</row>
    <row r="129" spans="2:18"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</row>
    <row r="130" spans="2:18"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</row>
    <row r="131" spans="2:18" ht="15" customHeight="1">
      <c r="B131" s="45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</row>
    <row r="132" spans="2:18" ht="15" customHeight="1">
      <c r="B132" s="170" t="s">
        <v>90</v>
      </c>
      <c r="C132" s="170"/>
      <c r="D132" s="170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</row>
    <row r="133" spans="2:18">
      <c r="B133" s="170"/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</row>
  </sheetData>
  <sheetProtection password="CA09" sheet="1" objects="1" scenarios="1"/>
  <dataConsolidate>
    <dataRefs count="1">
      <dataRef ref="I19:I21" sheet="Dados e Análise"/>
    </dataRefs>
  </dataConsolidate>
  <mergeCells count="27">
    <mergeCell ref="B2:R4"/>
    <mergeCell ref="B6:R6"/>
    <mergeCell ref="B132:R133"/>
    <mergeCell ref="L20:N20"/>
    <mergeCell ref="D9:I9"/>
    <mergeCell ref="B96:C96"/>
    <mergeCell ref="B65:R65"/>
    <mergeCell ref="B36:R36"/>
    <mergeCell ref="B100:R100"/>
    <mergeCell ref="D91:Q91"/>
    <mergeCell ref="D83:Q83"/>
    <mergeCell ref="B88:C88"/>
    <mergeCell ref="G102:K102"/>
    <mergeCell ref="F104:L104"/>
    <mergeCell ref="B84:C84"/>
    <mergeCell ref="B85:C85"/>
    <mergeCell ref="B95:C95"/>
    <mergeCell ref="B7:R7"/>
    <mergeCell ref="B18:R18"/>
    <mergeCell ref="B27:R27"/>
    <mergeCell ref="B57:R57"/>
    <mergeCell ref="B79:R79"/>
    <mergeCell ref="B86:C86"/>
    <mergeCell ref="B87:C87"/>
    <mergeCell ref="B92:C92"/>
    <mergeCell ref="B93:C93"/>
    <mergeCell ref="B94:C94"/>
  </mergeCells>
  <conditionalFormatting sqref="C34">
    <cfRule type="containsText" dxfId="14" priority="18" operator="containsText" text="As percentagens não totalizam 100%">
      <formula>NOT(ISERROR(SEARCH("As percentagens não totalizam 100%",C34)))</formula>
    </cfRule>
    <cfRule type="containsText" dxfId="13" priority="19" operator="containsText" text="OK">
      <formula>NOT(ISERROR(SEARCH("OK",C34)))</formula>
    </cfRule>
  </conditionalFormatting>
  <conditionalFormatting sqref="F104">
    <cfRule type="containsText" dxfId="12" priority="16" operator="containsText" text="Regime Normal">
      <formula>NOT(ISERROR(SEARCH("Regime Normal",F104)))</formula>
    </cfRule>
    <cfRule type="containsText" dxfId="11" priority="17" operator="containsText" text="Regime de IVA de Caixa">
      <formula>NOT(ISERROR(SEARCH("Regime de IVA de Caixa",F104)))</formula>
    </cfRule>
  </conditionalFormatting>
  <conditionalFormatting sqref="F104">
    <cfRule type="containsText" dxfId="10" priority="12" operator="containsText" text="Regime Geral de IVA">
      <formula>NOT(ISERROR(SEARCH("Regime Geral de IVA",F104)))</formula>
    </cfRule>
    <cfRule type="containsText" dxfId="9" priority="15" operator="containsText" text="Regime de IVA de Caixa">
      <formula>NOT(ISERROR(SEARCH("Regime de IVA de Caixa",F104)))</formula>
    </cfRule>
  </conditionalFormatting>
  <conditionalFormatting sqref="E28">
    <cfRule type="containsText" dxfId="8" priority="14" operator="containsText" text="Total do volume de negócios é superior a 500.000 euros!">
      <formula>NOT(ISERROR(SEARCH("Total do volume de negócios é superior a 500.000 euros!",E28)))</formula>
    </cfRule>
  </conditionalFormatting>
  <conditionalFormatting sqref="F104">
    <cfRule type="containsText" dxfId="7" priority="8" operator="containsText" text="Regime de IVA de Caixa">
      <formula>NOT(ISERROR(SEARCH("Regime de IVA de Caixa",F104)))</formula>
    </cfRule>
    <cfRule type="containsText" dxfId="6" priority="9" operator="containsText" text="Regime Geral de IVA">
      <formula>NOT(ISERROR(SEARCH("Regime Geral de IVA",F104)))</formula>
    </cfRule>
    <cfRule type="containsText" dxfId="5" priority="10" operator="containsText" text="Regime de IVA de Caixa">
      <formula>NOT(ISERROR(SEARCH("Regime de IVA de Caixa",F104)))</formula>
    </cfRule>
  </conditionalFormatting>
  <conditionalFormatting sqref="F104">
    <cfRule type="containsText" dxfId="4" priority="6" operator="containsText" text="Regime Geral de IVA">
      <formula>NOT(ISERROR(SEARCH("Regime Geral de IVA",F104)))</formula>
    </cfRule>
    <cfRule type="containsText" dxfId="3" priority="7" operator="containsText" text="Regime Geral de IVA">
      <formula>NOT(ISERROR(SEARCH("Regime Geral de IVA",F104)))</formula>
    </cfRule>
  </conditionalFormatting>
  <conditionalFormatting sqref="D25">
    <cfRule type="containsText" dxfId="2" priority="3" operator="containsText" text="Verifique os dados! O total do volume de negócios é superior a 500.000 euros!">
      <formula>NOT(ISERROR(SEARCH("Verifique os dados! O total do volume de negócios é superior a 500.000 euros!",D25)))</formula>
    </cfRule>
  </conditionalFormatting>
  <conditionalFormatting sqref="H60">
    <cfRule type="containsText" dxfId="1" priority="2" operator="containsText" text="Atenção! A simulação não permite a análise da liquidação de IVA de faturas recebidas a mais de 12 meses!">
      <formula>NOT(ISERROR(SEARCH("Atenção! A simulação não permite a análise da liquidação de IVA de faturas recebidas a mais de 12 meses!",H60)))</formula>
    </cfRule>
  </conditionalFormatting>
  <conditionalFormatting sqref="H62">
    <cfRule type="containsText" dxfId="0" priority="1" operator="containsText" text="Atenção! A simulação não permite a análise da dedução de IVA de faturas pagas a mais de 12 meses!">
      <formula>NOT(ISERROR(SEARCH("Atenção! A simulação não permite a análise da dedução de IVA de faturas pagas a mais de 12 meses!",H62)))</formula>
    </cfRule>
  </conditionalFormatting>
  <dataValidations count="7">
    <dataValidation type="decimal" allowBlank="1" showInputMessage="1" showErrorMessage="1" sqref="E33 G26">
      <formula1>0</formula1>
      <formula2>1</formula2>
    </dataValidation>
    <dataValidation type="whole" operator="notEqual" allowBlank="1" showInputMessage="1" showErrorMessage="1" sqref="O23:O24">
      <formula1>1</formula1>
    </dataValidation>
    <dataValidation type="decimal" allowBlank="1" showInputMessage="1" showErrorMessage="1" error="A soma da linha de &quot;% Divisão por taxas&quot; não é igual a 100%!" prompt="A soma da linha de &quot;% Divisão por taxas&quot; tem que ser igual a 100%!" sqref="L22:N24">
      <formula1>0</formula1>
      <formula2>1</formula2>
    </dataValidation>
    <dataValidation type="whole" operator="notEqual" allowBlank="1" showInputMessage="1" showErrorMessage="1" sqref="O22">
      <formula1>100</formula1>
    </dataValidation>
    <dataValidation type="list" allowBlank="1" showInputMessage="1" showErrorMessage="1" sqref="D11">
      <formula1>"2013, 2014, 2015"</formula1>
    </dataValidation>
    <dataValidation type="list" allowBlank="1" showInputMessage="1" showErrorMessage="1" sqref="D15">
      <formula1>"Continente, Açores, Madeira"</formula1>
    </dataValidation>
    <dataValidation type="list" allowBlank="1" showInputMessage="1" showErrorMessage="1" sqref="D13:D14">
      <formula1>"Mensal,Trimestral"</formula1>
    </dataValidation>
  </dataValidations>
  <pageMargins left="0.7" right="0.7" top="0.75" bottom="0.75" header="0.3" footer="0.3"/>
  <pageSetup paperSize="9" scale="35" orientation="portrait"/>
  <rowBreaks count="1" manualBreakCount="1">
    <brk id="99" max="17" man="1"/>
  </rowBreaks>
  <colBreaks count="1" manualBreakCount="1">
    <brk id="18" max="132" man="1"/>
  </colBreaks>
  <ignoredErrors>
    <ignoredError sqref="F20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Instruções</vt:lpstr>
      <vt:lpstr>Dados e Análise</vt:lpstr>
    </vt:vector>
  </TitlesOfParts>
  <Company>OTOC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João Rita</dc:creator>
  <cp:lastModifiedBy>roberto ferreira</cp:lastModifiedBy>
  <cp:lastPrinted>2013-08-14T15:23:07Z</cp:lastPrinted>
  <dcterms:created xsi:type="dcterms:W3CDTF">2013-08-09T10:57:25Z</dcterms:created>
  <dcterms:modified xsi:type="dcterms:W3CDTF">2013-09-05T15:49:51Z</dcterms:modified>
</cp:coreProperties>
</file>